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Admin\Documents\fitness\"/>
    </mc:Choice>
  </mc:AlternateContent>
  <xr:revisionPtr revIDLastSave="0" documentId="13_ncr:1_{C9AC4B7F-4B19-4D1A-8822-3354EFD23C7D}" xr6:coauthVersionLast="47" xr6:coauthVersionMax="47" xr10:uidLastSave="{00000000-0000-0000-0000-000000000000}"/>
  <bookViews>
    <workbookView xWindow="4185" yWindow="0" windowWidth="15975" windowHeight="10875" xr2:uid="{E673B6DA-70BC-4901-A169-02934981D927}"/>
  </bookViews>
  <sheets>
    <sheet name="Start" sheetId="1" r:id="rId1"/>
    <sheet name="Persönliche Daten" sheetId="6" r:id="rId2"/>
    <sheet name="Gewichts-Ziel" sheetId="10" r:id="rId3"/>
    <sheet name="fitness" sheetId="16" r:id="rId4"/>
    <sheet name="Spaziergang" sheetId="17" r:id="rId5"/>
    <sheet name="Schritte" sheetId="18" r:id="rId6"/>
    <sheet name="Treppen" sheetId="19" r:id="rId7"/>
    <sheet name="Squats" sheetId="20" r:id="rId8"/>
    <sheet name="Pushups" sheetId="21" r:id="rId9"/>
    <sheet name="Situps" sheetId="22" r:id="rId10"/>
    <sheet name="Gewichts-Tabelle" sheetId="7" r:id="rId11"/>
    <sheet name="Übersicht" sheetId="15" r:id="rId12"/>
    <sheet name="Umrechner" sheetId="14" r:id="rId13"/>
    <sheet name="Werte" sheetId="11" r:id="rId14"/>
    <sheet name="Programmdaten" sheetId="9" r:id="rId15"/>
    <sheet name="blanko" sheetId="12" r:id="rId16"/>
  </sheet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 i="22" l="1"/>
  <c r="R16" i="22"/>
  <c r="R18" i="22"/>
  <c r="K102" i="15"/>
  <c r="R16" i="21"/>
  <c r="R18" i="21"/>
  <c r="K93" i="15"/>
  <c r="B106" i="15"/>
  <c r="Q27" i="16"/>
  <c r="A16" i="22"/>
  <c r="K1" i="22"/>
  <c r="L14" i="22"/>
  <c r="M14" i="22"/>
  <c r="N14" i="22"/>
  <c r="O14" i="22"/>
  <c r="P14" i="22"/>
  <c r="Q14" i="22"/>
  <c r="R14" i="22"/>
  <c r="Q18" i="22"/>
  <c r="P18" i="22"/>
  <c r="O18" i="22"/>
  <c r="N18" i="22"/>
  <c r="M18" i="22"/>
  <c r="L18" i="22"/>
  <c r="K18" i="22"/>
  <c r="A18" i="22"/>
  <c r="A14" i="22"/>
  <c r="R11" i="22"/>
  <c r="Q11" i="22"/>
  <c r="P11" i="22"/>
  <c r="O11" i="22"/>
  <c r="N11" i="22"/>
  <c r="M11" i="22"/>
  <c r="L11" i="22"/>
  <c r="K11" i="22"/>
  <c r="A11" i="22"/>
  <c r="B8" i="22"/>
  <c r="Q5" i="1"/>
  <c r="Q5" i="22"/>
  <c r="Q4" i="1"/>
  <c r="Q4" i="22"/>
  <c r="K4" i="22"/>
  <c r="U9" i="9"/>
  <c r="A4" i="1"/>
  <c r="A4" i="22"/>
  <c r="K1" i="21"/>
  <c r="K8" i="21"/>
  <c r="L14" i="21"/>
  <c r="M14" i="21"/>
  <c r="N14" i="21"/>
  <c r="O14" i="21"/>
  <c r="P14" i="21"/>
  <c r="Q14" i="21"/>
  <c r="R14" i="21"/>
  <c r="R16" i="20"/>
  <c r="R18" i="20"/>
  <c r="K84" i="15"/>
  <c r="B97" i="15"/>
  <c r="N27" i="16"/>
  <c r="A16" i="21"/>
  <c r="Q18" i="21"/>
  <c r="P18" i="21"/>
  <c r="O18" i="21"/>
  <c r="N18" i="21"/>
  <c r="M18" i="21"/>
  <c r="L18" i="21"/>
  <c r="K18" i="21"/>
  <c r="A18" i="21"/>
  <c r="A14" i="21"/>
  <c r="R11" i="21"/>
  <c r="Q11" i="21"/>
  <c r="P11" i="21"/>
  <c r="O11" i="21"/>
  <c r="N11" i="21"/>
  <c r="M11" i="21"/>
  <c r="L11" i="21"/>
  <c r="K11" i="21"/>
  <c r="A11" i="21"/>
  <c r="B8" i="21"/>
  <c r="Q5" i="21"/>
  <c r="Q4" i="21"/>
  <c r="K4" i="21"/>
  <c r="A4" i="21"/>
  <c r="R16" i="19"/>
  <c r="R18" i="19"/>
  <c r="K75" i="15"/>
  <c r="A16" i="20"/>
  <c r="K1" i="20"/>
  <c r="K8" i="20"/>
  <c r="A14" i="19"/>
  <c r="A14" i="20"/>
  <c r="L14" i="20"/>
  <c r="M14" i="20"/>
  <c r="N14" i="20"/>
  <c r="O14" i="20"/>
  <c r="P14" i="20"/>
  <c r="Q14" i="20"/>
  <c r="R14" i="20"/>
  <c r="Q18" i="20"/>
  <c r="P18" i="20"/>
  <c r="O18" i="20"/>
  <c r="N18" i="20"/>
  <c r="M18" i="20"/>
  <c r="L18" i="20"/>
  <c r="K18" i="20"/>
  <c r="A18" i="20"/>
  <c r="R11" i="20"/>
  <c r="Q11" i="20"/>
  <c r="P11" i="20"/>
  <c r="O11" i="20"/>
  <c r="N11" i="20"/>
  <c r="M11" i="20"/>
  <c r="L11" i="20"/>
  <c r="K11" i="20"/>
  <c r="A11" i="20"/>
  <c r="B8" i="20"/>
  <c r="Q5" i="20"/>
  <c r="Q4" i="20"/>
  <c r="K4" i="20"/>
  <c r="A4" i="20"/>
  <c r="B88" i="15"/>
  <c r="K27" i="16"/>
  <c r="L14" i="19"/>
  <c r="M14" i="19"/>
  <c r="N14" i="19"/>
  <c r="O14" i="19"/>
  <c r="P14" i="19"/>
  <c r="Q14" i="19"/>
  <c r="R14" i="19"/>
  <c r="R14" i="18"/>
  <c r="R16" i="18"/>
  <c r="R18" i="18"/>
  <c r="K66" i="15"/>
  <c r="N18" i="19"/>
  <c r="O18" i="19"/>
  <c r="P18" i="19"/>
  <c r="Q18" i="19"/>
  <c r="M18" i="19"/>
  <c r="L18" i="19"/>
  <c r="K18" i="19"/>
  <c r="K14" i="18"/>
  <c r="K18" i="18"/>
  <c r="A18" i="19"/>
  <c r="B18" i="18"/>
  <c r="A16" i="19"/>
  <c r="B16" i="18"/>
  <c r="R11" i="19"/>
  <c r="Q11" i="19"/>
  <c r="P11" i="19"/>
  <c r="O11" i="19"/>
  <c r="N11" i="19"/>
  <c r="M11" i="19"/>
  <c r="L11" i="19"/>
  <c r="K11" i="19"/>
  <c r="K8" i="19"/>
  <c r="K1" i="19"/>
  <c r="A11" i="19"/>
  <c r="B8" i="19"/>
  <c r="Q5" i="19"/>
  <c r="Q4" i="19"/>
  <c r="K4" i="19"/>
  <c r="A4" i="19"/>
  <c r="B79" i="15"/>
  <c r="Q19" i="16"/>
  <c r="Q14" i="18"/>
  <c r="P14" i="18"/>
  <c r="O14" i="18"/>
  <c r="N14" i="18"/>
  <c r="M14" i="18"/>
  <c r="L14" i="18"/>
  <c r="K20" i="17"/>
  <c r="L20" i="17"/>
  <c r="M20" i="17"/>
  <c r="N20" i="17"/>
  <c r="O20" i="17"/>
  <c r="P20" i="17"/>
  <c r="Q20" i="17"/>
  <c r="R20" i="17"/>
  <c r="K57" i="15"/>
  <c r="M18" i="18"/>
  <c r="N18" i="18"/>
  <c r="O18" i="18"/>
  <c r="P18" i="18"/>
  <c r="Q18" i="18"/>
  <c r="L18" i="18"/>
  <c r="R11" i="18"/>
  <c r="B14" i="18"/>
  <c r="B70" i="15"/>
  <c r="K8" i="18"/>
  <c r="K1" i="18"/>
  <c r="Q11" i="18"/>
  <c r="P11" i="18"/>
  <c r="O11" i="18"/>
  <c r="N11" i="18"/>
  <c r="M11" i="18"/>
  <c r="L11" i="18"/>
  <c r="K11" i="18"/>
  <c r="A11" i="18"/>
  <c r="B8" i="18"/>
  <c r="Q5" i="18"/>
  <c r="Q4" i="18"/>
  <c r="K4" i="18"/>
  <c r="A4" i="18"/>
  <c r="T13" i="7"/>
  <c r="N26" i="15"/>
  <c r="U35" i="9"/>
  <c r="U37" i="9"/>
  <c r="S42" i="7"/>
  <c r="S43" i="7"/>
  <c r="S44" i="7"/>
  <c r="S45" i="7"/>
  <c r="S46" i="7"/>
  <c r="S48" i="7"/>
  <c r="U18" i="9"/>
  <c r="N28" i="10"/>
  <c r="N34" i="10"/>
  <c r="U27" i="9"/>
  <c r="Y3" i="9"/>
  <c r="U29" i="9"/>
  <c r="U31" i="9"/>
  <c r="U33" i="9"/>
  <c r="M8" i="11"/>
  <c r="L13" i="11"/>
  <c r="N13" i="11"/>
  <c r="Q14" i="11"/>
  <c r="Q13" i="11"/>
  <c r="Q15" i="11"/>
  <c r="Q16" i="11"/>
  <c r="L26" i="15"/>
  <c r="P26" i="15"/>
  <c r="N28" i="15"/>
  <c r="R14" i="11"/>
  <c r="R13" i="11"/>
  <c r="R15" i="11"/>
  <c r="R16" i="11"/>
  <c r="L28" i="15"/>
  <c r="P28" i="15"/>
  <c r="N24" i="15"/>
  <c r="P14" i="11"/>
  <c r="P13" i="11"/>
  <c r="P15" i="11"/>
  <c r="P16" i="11"/>
  <c r="L24" i="15"/>
  <c r="P24" i="15"/>
  <c r="N18" i="15"/>
  <c r="M14" i="11"/>
  <c r="M13" i="11"/>
  <c r="M15" i="11"/>
  <c r="M16" i="11"/>
  <c r="L18" i="15"/>
  <c r="P18" i="15"/>
  <c r="N16" i="15"/>
  <c r="L14" i="11"/>
  <c r="L15" i="11"/>
  <c r="L16" i="11"/>
  <c r="L16" i="15"/>
  <c r="P16" i="15"/>
  <c r="N22" i="15"/>
  <c r="O14" i="11"/>
  <c r="O13" i="11"/>
  <c r="O15" i="11"/>
  <c r="O16" i="11"/>
  <c r="L22" i="15"/>
  <c r="P22" i="15"/>
  <c r="N20" i="15"/>
  <c r="N14" i="11"/>
  <c r="N15" i="11"/>
  <c r="N16" i="11"/>
  <c r="L20" i="15"/>
  <c r="P20" i="15"/>
  <c r="B61" i="15"/>
  <c r="M34" i="15"/>
  <c r="K4" i="15"/>
  <c r="B18" i="17"/>
  <c r="R16" i="17"/>
  <c r="R18" i="17"/>
  <c r="R14" i="17"/>
  <c r="B20" i="17"/>
  <c r="R11" i="17"/>
  <c r="K8" i="17"/>
  <c r="B16" i="17"/>
  <c r="B14" i="17"/>
  <c r="Q11" i="17"/>
  <c r="P11" i="17"/>
  <c r="O11" i="17"/>
  <c r="N11" i="17"/>
  <c r="M11" i="17"/>
  <c r="L11" i="17"/>
  <c r="K11" i="17"/>
  <c r="K1" i="17"/>
  <c r="A11" i="17"/>
  <c r="B8" i="17"/>
  <c r="Q5" i="17"/>
  <c r="Q4" i="17"/>
  <c r="K4" i="17"/>
  <c r="A4" i="17"/>
  <c r="N19" i="16"/>
  <c r="K19" i="16"/>
  <c r="K4" i="16"/>
  <c r="K8" i="16"/>
  <c r="K1" i="16"/>
  <c r="A23" i="16"/>
  <c r="A20" i="16"/>
  <c r="A17" i="16"/>
  <c r="A14" i="16"/>
  <c r="A11" i="16"/>
  <c r="B8" i="16"/>
  <c r="Q5" i="16"/>
  <c r="Q4" i="16"/>
  <c r="A4" i="16"/>
  <c r="K1" i="12"/>
  <c r="K4" i="12"/>
  <c r="K1" i="14"/>
  <c r="K1" i="6"/>
  <c r="K1" i="9"/>
  <c r="K4" i="9"/>
  <c r="K4" i="11"/>
  <c r="K1" i="11"/>
  <c r="L10" i="11"/>
  <c r="A4" i="10"/>
  <c r="K49" i="10"/>
  <c r="S40" i="7"/>
  <c r="S41" i="7"/>
  <c r="N41" i="10"/>
  <c r="U11" i="9"/>
  <c r="U14" i="9"/>
  <c r="U16" i="9"/>
  <c r="K12" i="10"/>
  <c r="K44" i="10"/>
  <c r="K34" i="10"/>
  <c r="K1" i="10"/>
  <c r="L13" i="7"/>
  <c r="K1" i="7"/>
  <c r="K1" i="1"/>
  <c r="K1" i="15"/>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Y14" i="9"/>
  <c r="Y13" i="9"/>
  <c r="Y12" i="9"/>
  <c r="Y11" i="9"/>
  <c r="Y10" i="9"/>
  <c r="Y9" i="9"/>
  <c r="K48" i="10"/>
  <c r="K7" i="15"/>
  <c r="S39" i="7"/>
  <c r="O41" i="10"/>
  <c r="P21" i="11"/>
  <c r="L26" i="11"/>
  <c r="M30" i="11"/>
  <c r="Q38" i="11"/>
  <c r="N47" i="11"/>
  <c r="P51" i="11"/>
  <c r="P64" i="11"/>
  <c r="Q64" i="11"/>
  <c r="R64" i="11"/>
  <c r="O64" i="11"/>
  <c r="N64" i="11"/>
  <c r="M64" i="11"/>
  <c r="L64" i="11"/>
  <c r="R63" i="11"/>
  <c r="Q63" i="11"/>
  <c r="P63" i="11"/>
  <c r="O63" i="11"/>
  <c r="N63" i="11"/>
  <c r="M63" i="11"/>
  <c r="L63" i="11"/>
  <c r="R62" i="11"/>
  <c r="Q62" i="11"/>
  <c r="P62" i="11"/>
  <c r="O62" i="11"/>
  <c r="N62" i="11"/>
  <c r="M62" i="11"/>
  <c r="L62" i="11"/>
  <c r="R61" i="11"/>
  <c r="Q61" i="11"/>
  <c r="P61" i="11"/>
  <c r="O61" i="11"/>
  <c r="N61" i="11"/>
  <c r="M61" i="11"/>
  <c r="L61" i="11"/>
  <c r="R60" i="11"/>
  <c r="Q60" i="11"/>
  <c r="P60" i="11"/>
  <c r="O60" i="11"/>
  <c r="N60" i="11"/>
  <c r="M60" i="11"/>
  <c r="L60" i="11"/>
  <c r="R59" i="11"/>
  <c r="Q59" i="11"/>
  <c r="P59" i="11"/>
  <c r="O59" i="11"/>
  <c r="N59" i="11"/>
  <c r="M59" i="11"/>
  <c r="L59" i="11"/>
  <c r="R58" i="11"/>
  <c r="Q58" i="11"/>
  <c r="P58" i="11"/>
  <c r="O58" i="11"/>
  <c r="N58" i="11"/>
  <c r="M58" i="11"/>
  <c r="L58" i="11"/>
  <c r="R57" i="11"/>
  <c r="Q57" i="11"/>
  <c r="P57" i="11"/>
  <c r="O57" i="11"/>
  <c r="N57" i="11"/>
  <c r="M57" i="11"/>
  <c r="L57" i="11"/>
  <c r="R56" i="11"/>
  <c r="Q56" i="11"/>
  <c r="P56" i="11"/>
  <c r="O56" i="11"/>
  <c r="N56" i="11"/>
  <c r="M56" i="11"/>
  <c r="L56" i="11"/>
  <c r="R55" i="11"/>
  <c r="Q55" i="11"/>
  <c r="P55" i="11"/>
  <c r="O55" i="11"/>
  <c r="N55" i="11"/>
  <c r="M55" i="11"/>
  <c r="L55" i="11"/>
  <c r="R54" i="11"/>
  <c r="Q54" i="11"/>
  <c r="P54" i="11"/>
  <c r="O54" i="11"/>
  <c r="N54" i="11"/>
  <c r="M54" i="11"/>
  <c r="L54" i="11"/>
  <c r="R53" i="11"/>
  <c r="Q53" i="11"/>
  <c r="P53" i="11"/>
  <c r="O53" i="11"/>
  <c r="N53" i="11"/>
  <c r="M53" i="11"/>
  <c r="L53" i="11"/>
  <c r="R52" i="11"/>
  <c r="Q52" i="11"/>
  <c r="P52" i="11"/>
  <c r="O52" i="11"/>
  <c r="N52" i="11"/>
  <c r="M52" i="11"/>
  <c r="L52" i="11"/>
  <c r="R51" i="11"/>
  <c r="Q51" i="11"/>
  <c r="O51" i="11"/>
  <c r="N51" i="11"/>
  <c r="M51" i="11"/>
  <c r="L51" i="11"/>
  <c r="R50" i="11"/>
  <c r="Q50" i="11"/>
  <c r="P50" i="11"/>
  <c r="O50" i="11"/>
  <c r="N50" i="11"/>
  <c r="M50" i="11"/>
  <c r="L50" i="11"/>
  <c r="R49" i="11"/>
  <c r="Q49" i="11"/>
  <c r="P49" i="11"/>
  <c r="O49" i="11"/>
  <c r="N49" i="11"/>
  <c r="M49" i="11"/>
  <c r="L49" i="11"/>
  <c r="R48" i="11"/>
  <c r="Q48" i="11"/>
  <c r="P48" i="11"/>
  <c r="O48" i="11"/>
  <c r="N48" i="11"/>
  <c r="M48" i="11"/>
  <c r="L48" i="11"/>
  <c r="R47" i="11"/>
  <c r="Q47" i="11"/>
  <c r="P47" i="11"/>
  <c r="O47" i="11"/>
  <c r="M47" i="11"/>
  <c r="L47" i="11"/>
  <c r="R46" i="11"/>
  <c r="Q46" i="11"/>
  <c r="P46" i="11"/>
  <c r="O46" i="11"/>
  <c r="N46" i="11"/>
  <c r="M46" i="11"/>
  <c r="L46" i="11"/>
  <c r="R45" i="11"/>
  <c r="Q45" i="11"/>
  <c r="P45" i="11"/>
  <c r="O45" i="11"/>
  <c r="N45" i="11"/>
  <c r="M45" i="11"/>
  <c r="L45" i="11"/>
  <c r="R44" i="11"/>
  <c r="Q44" i="11"/>
  <c r="P44" i="11"/>
  <c r="O44" i="11"/>
  <c r="N44" i="11"/>
  <c r="M44" i="11"/>
  <c r="L44" i="11"/>
  <c r="R43" i="11"/>
  <c r="Q43" i="11"/>
  <c r="P43" i="11"/>
  <c r="O43" i="11"/>
  <c r="N43" i="11"/>
  <c r="M43" i="11"/>
  <c r="L43" i="11"/>
  <c r="R42" i="11"/>
  <c r="Q42" i="11"/>
  <c r="P42" i="11"/>
  <c r="O42" i="11"/>
  <c r="N42" i="11"/>
  <c r="M42" i="11"/>
  <c r="L42" i="11"/>
  <c r="R41" i="11"/>
  <c r="Q41" i="11"/>
  <c r="P41" i="11"/>
  <c r="O41" i="11"/>
  <c r="N41" i="11"/>
  <c r="M41" i="11"/>
  <c r="L41" i="11"/>
  <c r="R40" i="11"/>
  <c r="Q40" i="11"/>
  <c r="P40" i="11"/>
  <c r="O40" i="11"/>
  <c r="N40" i="11"/>
  <c r="M40" i="11"/>
  <c r="L40" i="11"/>
  <c r="R39" i="11"/>
  <c r="Q39" i="11"/>
  <c r="P39" i="11"/>
  <c r="O39" i="11"/>
  <c r="N39" i="11"/>
  <c r="M39" i="11"/>
  <c r="L39" i="11"/>
  <c r="R38" i="11"/>
  <c r="P38" i="11"/>
  <c r="O38" i="11"/>
  <c r="N38" i="11"/>
  <c r="M38" i="11"/>
  <c r="L38" i="11"/>
  <c r="R37" i="11"/>
  <c r="Q37" i="11"/>
  <c r="P37" i="11"/>
  <c r="O37" i="11"/>
  <c r="N37" i="11"/>
  <c r="M37" i="11"/>
  <c r="L37" i="11"/>
  <c r="R36" i="11"/>
  <c r="Q36" i="11"/>
  <c r="P36" i="11"/>
  <c r="O36" i="11"/>
  <c r="N36" i="11"/>
  <c r="M36" i="11"/>
  <c r="L36" i="11"/>
  <c r="R35" i="11"/>
  <c r="Q35" i="11"/>
  <c r="P35" i="11"/>
  <c r="O35" i="11"/>
  <c r="N35" i="11"/>
  <c r="M35" i="11"/>
  <c r="L35" i="11"/>
  <c r="R34" i="11"/>
  <c r="Q34" i="11"/>
  <c r="P34" i="11"/>
  <c r="O34" i="11"/>
  <c r="N34" i="11"/>
  <c r="M34" i="11"/>
  <c r="L34" i="11"/>
  <c r="R33" i="11"/>
  <c r="Q33" i="11"/>
  <c r="P33" i="11"/>
  <c r="O33" i="11"/>
  <c r="N33" i="11"/>
  <c r="M33" i="11"/>
  <c r="L33" i="11"/>
  <c r="R32" i="11"/>
  <c r="Q32" i="11"/>
  <c r="P32" i="11"/>
  <c r="O32" i="11"/>
  <c r="N32" i="11"/>
  <c r="M32" i="11"/>
  <c r="L32" i="11"/>
  <c r="R31" i="11"/>
  <c r="Q31" i="11"/>
  <c r="P31" i="11"/>
  <c r="O31" i="11"/>
  <c r="N31" i="11"/>
  <c r="M31" i="11"/>
  <c r="L31" i="11"/>
  <c r="R30" i="11"/>
  <c r="Q30" i="11"/>
  <c r="P30" i="11"/>
  <c r="O30" i="11"/>
  <c r="N30" i="11"/>
  <c r="L30" i="11"/>
  <c r="R29" i="11"/>
  <c r="Q29" i="11"/>
  <c r="P29" i="11"/>
  <c r="O29" i="11"/>
  <c r="N29" i="11"/>
  <c r="M29" i="11"/>
  <c r="L29" i="11"/>
  <c r="R28" i="11"/>
  <c r="Q28" i="11"/>
  <c r="P28" i="11"/>
  <c r="O28" i="11"/>
  <c r="N28" i="11"/>
  <c r="M28" i="11"/>
  <c r="L28" i="11"/>
  <c r="R27" i="11"/>
  <c r="Q27" i="11"/>
  <c r="P27" i="11"/>
  <c r="O27" i="11"/>
  <c r="N27" i="11"/>
  <c r="M27" i="11"/>
  <c r="L27" i="11"/>
  <c r="R26" i="11"/>
  <c r="Q26" i="11"/>
  <c r="P26" i="11"/>
  <c r="O26" i="11"/>
  <c r="N26" i="11"/>
  <c r="M26" i="11"/>
  <c r="R25" i="11"/>
  <c r="Q25" i="11"/>
  <c r="P25" i="11"/>
  <c r="O25" i="11"/>
  <c r="N25" i="11"/>
  <c r="M25" i="11"/>
  <c r="L25" i="11"/>
  <c r="R24" i="11"/>
  <c r="Q24" i="11"/>
  <c r="P24" i="11"/>
  <c r="O24" i="11"/>
  <c r="N24" i="11"/>
  <c r="M24" i="11"/>
  <c r="L24" i="11"/>
  <c r="R23" i="11"/>
  <c r="Q23" i="11"/>
  <c r="P23" i="11"/>
  <c r="O23" i="11"/>
  <c r="N23" i="11"/>
  <c r="M23" i="11"/>
  <c r="L23" i="11"/>
  <c r="R22" i="11"/>
  <c r="Q22" i="11"/>
  <c r="P22" i="11"/>
  <c r="O22" i="11"/>
  <c r="N22" i="11"/>
  <c r="M22" i="11"/>
  <c r="L22" i="11"/>
  <c r="R21" i="11"/>
  <c r="Q21" i="11"/>
  <c r="O21" i="11"/>
  <c r="N21" i="11"/>
  <c r="M21" i="11"/>
  <c r="L21" i="11"/>
  <c r="R20" i="11"/>
  <c r="Q20" i="11"/>
  <c r="P20" i="11"/>
  <c r="O20" i="11"/>
  <c r="N20" i="11"/>
  <c r="M20" i="11"/>
  <c r="L20" i="11"/>
  <c r="R19" i="11"/>
  <c r="Q19" i="11"/>
  <c r="P19" i="11"/>
  <c r="O19" i="11"/>
  <c r="N19" i="11"/>
  <c r="M19" i="11"/>
  <c r="L19" i="11"/>
  <c r="R18" i="11"/>
  <c r="Q18" i="11"/>
  <c r="P18" i="11"/>
  <c r="O18" i="11"/>
  <c r="N18" i="11"/>
  <c r="M18" i="11"/>
  <c r="L18" i="11"/>
  <c r="R17" i="11"/>
  <c r="Q17" i="11"/>
  <c r="P17" i="11"/>
  <c r="O17" i="11"/>
  <c r="N17" i="11"/>
  <c r="M17" i="11"/>
  <c r="L17" i="11"/>
  <c r="W9" i="9"/>
  <c r="K9" i="15"/>
  <c r="L24" i="10"/>
  <c r="W11" i="9"/>
  <c r="W12" i="9"/>
  <c r="W10" i="9"/>
  <c r="K41" i="10"/>
  <c r="K39" i="10"/>
  <c r="K37" i="10"/>
  <c r="K31" i="10"/>
  <c r="K28" i="10"/>
  <c r="U3" i="9"/>
  <c r="U24" i="9"/>
  <c r="U21" i="9"/>
  <c r="L21" i="10"/>
  <c r="K9" i="6"/>
  <c r="K19" i="10"/>
  <c r="K14" i="10"/>
  <c r="E43" i="6"/>
  <c r="K8" i="10"/>
  <c r="R10" i="11"/>
  <c r="M22" i="6"/>
  <c r="E24" i="6"/>
  <c r="E25" i="6"/>
  <c r="Q5" i="10"/>
  <c r="R68" i="7"/>
  <c r="Q68" i="7"/>
  <c r="P68" i="7"/>
  <c r="O68" i="7"/>
  <c r="L68" i="7"/>
  <c r="M68" i="7"/>
  <c r="N68" i="7"/>
  <c r="S16" i="7"/>
  <c r="S17" i="7"/>
  <c r="S18" i="7"/>
  <c r="S19" i="7"/>
  <c r="S20" i="7"/>
  <c r="S21" i="7"/>
  <c r="S22" i="7"/>
  <c r="S23" i="7"/>
  <c r="S24" i="7"/>
  <c r="S25" i="7"/>
  <c r="S26" i="7"/>
  <c r="S27" i="7"/>
  <c r="S28" i="7"/>
  <c r="S29" i="7"/>
  <c r="S30" i="7"/>
  <c r="S31" i="7"/>
  <c r="S32" i="7"/>
  <c r="S33" i="7"/>
  <c r="S34" i="7"/>
  <c r="S35" i="7"/>
  <c r="S36" i="7"/>
  <c r="S37" i="7"/>
  <c r="S38" i="7"/>
  <c r="S47" i="7"/>
  <c r="S49" i="7"/>
  <c r="S50" i="7"/>
  <c r="S51" i="7"/>
  <c r="S52" i="7"/>
  <c r="S53" i="7"/>
  <c r="S54" i="7"/>
  <c r="S55" i="7"/>
  <c r="S56" i="7"/>
  <c r="S57" i="7"/>
  <c r="S58" i="7"/>
  <c r="S59" i="7"/>
  <c r="S60" i="7"/>
  <c r="S61" i="7"/>
  <c r="S62" i="7"/>
  <c r="S63" i="7"/>
  <c r="S64" i="7"/>
  <c r="S65" i="7"/>
  <c r="S66" i="7"/>
  <c r="S67" i="7"/>
  <c r="S72" i="7"/>
  <c r="V64" i="11"/>
  <c r="X64" i="11"/>
  <c r="V63" i="11"/>
  <c r="X63" i="11"/>
  <c r="V62" i="11"/>
  <c r="X62" i="11"/>
  <c r="V61" i="11"/>
  <c r="X61" i="11"/>
  <c r="V60" i="11"/>
  <c r="X60" i="11"/>
  <c r="V59" i="11"/>
  <c r="X59" i="11"/>
  <c r="V58" i="11"/>
  <c r="X58" i="11"/>
  <c r="V57" i="11"/>
  <c r="X57" i="11"/>
  <c r="V56" i="11"/>
  <c r="X56" i="11"/>
  <c r="V55" i="11"/>
  <c r="X55" i="11"/>
  <c r="V54" i="11"/>
  <c r="X54" i="11"/>
  <c r="V53" i="11"/>
  <c r="X53" i="11"/>
  <c r="V52" i="11"/>
  <c r="X52" i="11"/>
  <c r="V51" i="11"/>
  <c r="X51" i="11"/>
  <c r="V50" i="11"/>
  <c r="X50" i="11"/>
  <c r="V49" i="11"/>
  <c r="X49" i="11"/>
  <c r="V48" i="11"/>
  <c r="X48" i="11"/>
  <c r="V47" i="11"/>
  <c r="X47" i="11"/>
  <c r="V46" i="11"/>
  <c r="X46" i="11"/>
  <c r="V45" i="11"/>
  <c r="X45" i="11"/>
  <c r="V44" i="11"/>
  <c r="X44" i="11"/>
  <c r="V43" i="11"/>
  <c r="X43" i="11"/>
  <c r="V42" i="11"/>
  <c r="X42" i="11"/>
  <c r="V41" i="11"/>
  <c r="X41" i="11"/>
  <c r="V40" i="11"/>
  <c r="X40" i="11"/>
  <c r="V39" i="11"/>
  <c r="X39" i="11"/>
  <c r="V38" i="11"/>
  <c r="X38" i="11"/>
  <c r="V37" i="11"/>
  <c r="X37" i="11"/>
  <c r="V36" i="11"/>
  <c r="X36" i="11"/>
  <c r="V35" i="11"/>
  <c r="X35" i="11"/>
  <c r="V34" i="11"/>
  <c r="X34" i="11"/>
  <c r="V33" i="11"/>
  <c r="X33" i="11"/>
  <c r="V32" i="11"/>
  <c r="X32" i="11"/>
  <c r="V31" i="11"/>
  <c r="X31" i="11"/>
  <c r="V30" i="11"/>
  <c r="X30" i="11"/>
  <c r="V29" i="11"/>
  <c r="X29" i="11"/>
  <c r="V28" i="11"/>
  <c r="X28" i="11"/>
  <c r="V27" i="11"/>
  <c r="X27" i="11"/>
  <c r="V26" i="11"/>
  <c r="X26" i="11"/>
  <c r="V25" i="11"/>
  <c r="X25" i="11"/>
  <c r="V24" i="11"/>
  <c r="X24" i="11"/>
  <c r="V23" i="11"/>
  <c r="X23" i="11"/>
  <c r="V22" i="11"/>
  <c r="X22" i="11"/>
  <c r="V21" i="11"/>
  <c r="X21" i="11"/>
  <c r="V20" i="11"/>
  <c r="X20" i="11"/>
  <c r="V19" i="11"/>
  <c r="X19" i="11"/>
  <c r="V18" i="11"/>
  <c r="X18" i="11"/>
  <c r="V17" i="11"/>
  <c r="X17" i="11"/>
  <c r="V16" i="11"/>
  <c r="X16" i="11"/>
  <c r="V15" i="11"/>
  <c r="X15" i="11"/>
  <c r="V14" i="11"/>
  <c r="X14" i="11"/>
  <c r="V13" i="11"/>
  <c r="X13" i="11"/>
  <c r="K68" i="7"/>
  <c r="S62" i="11"/>
  <c r="S51" i="11"/>
  <c r="S13" i="11"/>
  <c r="S63" i="11"/>
  <c r="S64" i="11"/>
  <c r="S14" i="11"/>
  <c r="S61" i="11"/>
  <c r="W64" i="11"/>
  <c r="S50" i="11"/>
  <c r="S60" i="11"/>
  <c r="W63" i="11"/>
  <c r="S49" i="11"/>
  <c r="S59" i="11"/>
  <c r="W62" i="11"/>
  <c r="S48" i="11"/>
  <c r="S58" i="11"/>
  <c r="W61" i="11"/>
  <c r="S47" i="11"/>
  <c r="S57" i="11"/>
  <c r="W60" i="11"/>
  <c r="S46" i="11"/>
  <c r="S56" i="11"/>
  <c r="W59" i="11"/>
  <c r="S45" i="11"/>
  <c r="S55" i="11"/>
  <c r="W58" i="11"/>
  <c r="S44" i="11"/>
  <c r="S54" i="11"/>
  <c r="W57" i="11"/>
  <c r="S43" i="11"/>
  <c r="S53" i="11"/>
  <c r="W56" i="11"/>
  <c r="S42" i="11"/>
  <c r="S52" i="11"/>
  <c r="W55" i="11"/>
  <c r="S41" i="11"/>
  <c r="W54" i="11"/>
  <c r="S40" i="11"/>
  <c r="W53" i="11"/>
  <c r="S39" i="11"/>
  <c r="W52" i="11"/>
  <c r="S38" i="11"/>
  <c r="W51" i="11"/>
  <c r="S37" i="11"/>
  <c r="W50" i="11"/>
  <c r="S36" i="11"/>
  <c r="W49" i="11"/>
  <c r="S35" i="11"/>
  <c r="W48" i="11"/>
  <c r="S34" i="11"/>
  <c r="W47" i="11"/>
  <c r="S33" i="11"/>
  <c r="W46" i="11"/>
  <c r="S32" i="11"/>
  <c r="W45" i="11"/>
  <c r="S31" i="11"/>
  <c r="W44" i="11"/>
  <c r="S30" i="11"/>
  <c r="W43" i="11"/>
  <c r="S29" i="11"/>
  <c r="W42" i="11"/>
  <c r="S28" i="11"/>
  <c r="W41" i="11"/>
  <c r="S27" i="11"/>
  <c r="W40" i="11"/>
  <c r="S26" i="11"/>
  <c r="W39" i="11"/>
  <c r="S25" i="11"/>
  <c r="W38" i="11"/>
  <c r="S24" i="11"/>
  <c r="W37" i="11"/>
  <c r="S23" i="11"/>
  <c r="W36" i="11"/>
  <c r="S22" i="11"/>
  <c r="W35" i="11"/>
  <c r="S21" i="11"/>
  <c r="W34" i="11"/>
  <c r="S20" i="11"/>
  <c r="W33" i="11"/>
  <c r="S19" i="11"/>
  <c r="W32" i="11"/>
  <c r="S18" i="11"/>
  <c r="W31" i="11"/>
  <c r="S17" i="11"/>
  <c r="W30" i="11"/>
  <c r="S16" i="11"/>
  <c r="W29" i="11"/>
  <c r="S15" i="11"/>
  <c r="W28" i="11"/>
  <c r="W27" i="11"/>
  <c r="W26" i="11"/>
  <c r="W25" i="11"/>
  <c r="W23" i="11"/>
  <c r="W24" i="11"/>
  <c r="W22" i="11"/>
  <c r="W21" i="11"/>
  <c r="W19" i="11"/>
  <c r="W20" i="11"/>
  <c r="W18" i="11"/>
  <c r="W17" i="11"/>
  <c r="W16" i="11"/>
  <c r="W13" i="11"/>
  <c r="W14" i="11"/>
  <c r="W15" i="11"/>
  <c r="X10" i="11"/>
  <c r="N15" i="15"/>
  <c r="W10" i="11"/>
  <c r="L15" i="15"/>
  <c r="L61" i="10"/>
  <c r="A20" i="10"/>
  <c r="A19" i="7"/>
  <c r="AA15" i="9"/>
  <c r="AA14" i="9"/>
  <c r="AA17" i="9"/>
  <c r="AA16" i="9"/>
  <c r="Q8" i="11"/>
  <c r="K10" i="15"/>
  <c r="K8" i="15"/>
  <c r="K11" i="7"/>
  <c r="AA13" i="9"/>
  <c r="AA11" i="9"/>
  <c r="Q28" i="15"/>
  <c r="AA12" i="9"/>
  <c r="Q26" i="15"/>
  <c r="Q24" i="15"/>
  <c r="Q16" i="15"/>
  <c r="Q22" i="15"/>
  <c r="Q20" i="15"/>
  <c r="Q18" i="15"/>
  <c r="P15" i="15"/>
  <c r="K7" i="7"/>
  <c r="K28" i="15"/>
  <c r="K26" i="15"/>
  <c r="K24" i="15"/>
  <c r="K20" i="15"/>
  <c r="K22" i="15"/>
  <c r="K18" i="15"/>
  <c r="K16" i="15"/>
  <c r="A23" i="15"/>
  <c r="A20" i="15"/>
  <c r="A17" i="15"/>
  <c r="A14" i="15"/>
  <c r="A11" i="15"/>
  <c r="B8" i="15"/>
  <c r="Q5" i="15"/>
  <c r="Q4" i="15"/>
  <c r="A4" i="15"/>
  <c r="AI24" i="9"/>
  <c r="AL24" i="9"/>
  <c r="Q4" i="12"/>
  <c r="AN24" i="9"/>
  <c r="Q10" i="11"/>
  <c r="P10" i="11"/>
  <c r="O10" i="11"/>
  <c r="N10" i="11"/>
  <c r="M10" i="11"/>
  <c r="A20" i="12"/>
  <c r="A23" i="12"/>
  <c r="A17" i="12"/>
  <c r="A14" i="12"/>
  <c r="A11" i="12"/>
  <c r="B8" i="12"/>
  <c r="Q8" i="10"/>
  <c r="N8" i="11"/>
  <c r="R8" i="11"/>
  <c r="O8" i="11"/>
  <c r="K4" i="10"/>
  <c r="K4" i="6"/>
  <c r="N13" i="7"/>
  <c r="Q4" i="10"/>
  <c r="K8" i="11"/>
  <c r="A17" i="10"/>
  <c r="A14" i="10"/>
  <c r="A11" i="10"/>
  <c r="A4" i="7"/>
  <c r="B8" i="10"/>
  <c r="O10" i="14"/>
  <c r="O18" i="6"/>
  <c r="M15" i="14"/>
  <c r="K12" i="14"/>
  <c r="A17" i="11"/>
  <c r="A14" i="11"/>
  <c r="A11" i="11"/>
  <c r="B8" i="11"/>
  <c r="L12" i="11"/>
  <c r="M12" i="11"/>
  <c r="N12" i="11"/>
  <c r="O12" i="11"/>
  <c r="P12" i="11"/>
  <c r="R12" i="11"/>
  <c r="Q12" i="11"/>
  <c r="Q15" i="7"/>
  <c r="S10" i="11"/>
  <c r="Q5" i="11"/>
  <c r="Q5" i="7"/>
  <c r="S13" i="7"/>
  <c r="R13" i="7"/>
  <c r="Q13" i="7"/>
  <c r="O13" i="7"/>
  <c r="M13" i="7"/>
  <c r="P13" i="7"/>
  <c r="K10" i="11"/>
  <c r="K13" i="7"/>
  <c r="K17" i="14"/>
  <c r="P18" i="14"/>
  <c r="A17" i="14"/>
  <c r="A14" i="14"/>
  <c r="A11" i="14"/>
  <c r="O20" i="6"/>
  <c r="K8" i="14"/>
  <c r="M17" i="14"/>
  <c r="O12" i="14"/>
  <c r="M12" i="14"/>
  <c r="B8" i="14"/>
  <c r="Q5" i="14"/>
  <c r="Q4" i="14"/>
  <c r="K4" i="14"/>
  <c r="A4" i="14"/>
  <c r="S69" i="7"/>
  <c r="A17" i="9"/>
  <c r="A14" i="9"/>
  <c r="A11" i="9"/>
  <c r="B8" i="9"/>
  <c r="O21" i="6"/>
  <c r="K22" i="6"/>
  <c r="K4" i="7"/>
  <c r="Q5" i="12"/>
  <c r="Q5" i="6"/>
  <c r="K69" i="7"/>
  <c r="K15" i="7"/>
  <c r="A16" i="7"/>
  <c r="A13" i="7"/>
  <c r="A10" i="7"/>
  <c r="B7" i="7"/>
  <c r="K20" i="6"/>
  <c r="K18" i="6"/>
  <c r="K16" i="6"/>
  <c r="K14" i="6"/>
  <c r="A15" i="1"/>
  <c r="A12" i="1"/>
  <c r="B9" i="1"/>
  <c r="A15" i="6"/>
  <c r="A12" i="6"/>
  <c r="A18" i="6"/>
  <c r="B9" i="6"/>
  <c r="T15" i="7"/>
  <c r="L15" i="7"/>
  <c r="M15" i="7"/>
  <c r="N15" i="7"/>
  <c r="O15" i="7"/>
  <c r="R15" i="7"/>
  <c r="P15" i="7"/>
  <c r="K4" i="1"/>
  <c r="R69" i="7"/>
  <c r="Q69" i="7"/>
  <c r="P69" i="7"/>
  <c r="O69" i="7"/>
  <c r="N69" i="7"/>
  <c r="M69" i="7"/>
  <c r="L69" i="7"/>
  <c r="A7" i="1"/>
  <c r="K27" i="1"/>
  <c r="Z7" i="9"/>
  <c r="A4" i="11"/>
  <c r="T68" i="7"/>
  <c r="A4" i="12"/>
  <c r="Q4" i="11"/>
  <c r="O34" i="10"/>
  <c r="O31" i="10"/>
  <c r="O28" i="10"/>
  <c r="P24" i="10"/>
  <c r="K24" i="10"/>
  <c r="K7" i="9"/>
  <c r="K44" i="9"/>
  <c r="Q5" i="9"/>
  <c r="Q4" i="9"/>
  <c r="A4" i="9"/>
  <c r="A4" i="6"/>
  <c r="Q4" i="6"/>
  <c r="Q4" i="7"/>
</calcChain>
</file>

<file path=xl/sharedStrings.xml><?xml version="1.0" encoding="utf-8"?>
<sst xmlns="http://schemas.openxmlformats.org/spreadsheetml/2006/main" count="457" uniqueCount="441">
  <si>
    <t xml:space="preserve"> </t>
  </si>
  <si>
    <t>Adipositias Grad 1</t>
  </si>
  <si>
    <t xml:space="preserve">Adipositas Grad 1 ist eine Klassifizierung der Fettleibigkeit, die auf dem Body-Mass-Index (BMI) basiert. </t>
  </si>
  <si>
    <t xml:space="preserve">Der BMI ist eine gängige Methode, um das Verhältnis von Gewicht zu Körpergröße zu bewerten. </t>
  </si>
  <si>
    <t xml:space="preserve">Adipositas Grad 1 liegt vor, wenn der BMI zwischen 30 und 34,9 liegt. </t>
  </si>
  <si>
    <t>Krebsarten.</t>
  </si>
  <si>
    <t xml:space="preserve">Darüber hinaus können psychische Belastungen, wie ein geringes Selbstwertgefühl oder Depressionen, </t>
  </si>
  <si>
    <t xml:space="preserve">auftreten. </t>
  </si>
  <si>
    <t xml:space="preserve">Die Behandlung von Adipositas Grad 1 beinhaltet in der Regel eine Kombination aus gesunder </t>
  </si>
  <si>
    <t xml:space="preserve">Ernährung, regelmäßiger körperlicher Aktivität und Verhaltensänderungen. </t>
  </si>
  <si>
    <t xml:space="preserve">Der Fokus liegt darauf, einen gesunden Lebensstil zu entwickeln, um Gewicht zu verlieren und </t>
  </si>
  <si>
    <t>Adipositias Grad 2</t>
  </si>
  <si>
    <t>Adipositas Grad 2 wird anhand des Body-Mass-Index (BMI) diagnostiziert,</t>
  </si>
  <si>
    <t>der das Verhältnis von Körpergewicht zu Körpergröße berechnet.</t>
  </si>
  <si>
    <t>kg</t>
  </si>
  <si>
    <t>m</t>
  </si>
  <si>
    <t xml:space="preserve">Menschen mit Adipositas Grad 1 haben ein erhöhtes Körpergewicht, das in der Regel auf eine </t>
  </si>
  <si>
    <t xml:space="preserve">Dieser Grad der Adipositas wird als mild bis moderat betrach-tet und kann verschiedene </t>
  </si>
  <si>
    <t>gesundheitliche Auswirkungen haben.</t>
  </si>
  <si>
    <t xml:space="preserve">übermäßige Ansammlung von Körperfett zurückzuführen ist. </t>
  </si>
  <si>
    <t xml:space="preserve">Zu den möglichen Auswirkungen von Adipositas Grad 1 gehören ein erhöhtes Risiko für Erkrankungen </t>
  </si>
  <si>
    <t xml:space="preserve">Eine professionelle medizinische Beratung und Betreuung sind daher ratsam, um die beste </t>
  </si>
  <si>
    <t>Vorgehensweise zur Bewältigung von Adipositas Grad 1 zu bestimmen.</t>
  </si>
  <si>
    <t xml:space="preserve">Die Hauptursache für Adipositas Grad 2 ist eine langfristige Energiebilanzstörung, </t>
  </si>
  <si>
    <t xml:space="preserve">bei der die aufgenommene Energie die verbrauchte Energie übersteigt. </t>
  </si>
  <si>
    <t xml:space="preserve">Adipositas Grad 2 stellt eine ernsthafte gesundheitliche Herausforderung dar, die mit </t>
  </si>
  <si>
    <t xml:space="preserve">Die Hauptziele sind die Gewichtsreduktion, die Steigerung der körperlichen Aktivität </t>
  </si>
  <si>
    <t xml:space="preserve">und die Förderung einer gesunden Ernährung. Dies kann durch eine Kombination aus </t>
  </si>
  <si>
    <t xml:space="preserve">Ernährungsberatung, Bewegungstherapie, und Verhaltensänderungen erreicht werden. </t>
  </si>
  <si>
    <t>Ein langfristiger Ansatz zur Gewichtsreduktion und zur Aufrechterhaltung eines</t>
  </si>
  <si>
    <t xml:space="preserve">einem erhöhten Risiko für verschiedene Krankheiten verbunden ist. </t>
  </si>
  <si>
    <t xml:space="preserve">Dies bedeutet, dass eine Person mit diesem Grad der Adipositas ein  </t>
  </si>
  <si>
    <t xml:space="preserve">deutlich erhöhtes Körpergewicht hat, das über das normale Maß hinausgeht. </t>
  </si>
  <si>
    <t xml:space="preserve">Adipositas Grad 2 ist oft mit einer Reihe von Begleiterkrankungen wie Diabetes, </t>
  </si>
  <si>
    <t>Bluthochdruck, Herz-Kreislauf-Erkrankungen und Gelenkproblemen verbunden.</t>
  </si>
  <si>
    <t xml:space="preserve">langfristig zu halten. </t>
  </si>
  <si>
    <t>Bewegungsmangel, psychologische Faktoren und Umweltfaktoren verursacht werden.</t>
  </si>
  <si>
    <t xml:space="preserve">Dies kann durch eine Kombination aus genetischer Veranlagung und ungesunder Ernährung, </t>
  </si>
  <si>
    <t xml:space="preserve"> gesunden Lebensstils ist von entscheidender Bedeutung. </t>
  </si>
  <si>
    <t xml:space="preserve">Ein BMI zwischen 35 und 39,9 wird als Adipositas Grad 2 klassifiziert. </t>
  </si>
  <si>
    <t>Adipositias Grad 3</t>
  </si>
  <si>
    <t xml:space="preserve">Adipositas Grad 3, auch bekannt als schwere Adipositas oder extreme Adipositas, </t>
  </si>
  <si>
    <t xml:space="preserve">ist die höchste Stufe der Adipositas oder Fettleibigkeit. </t>
  </si>
  <si>
    <t xml:space="preserve">Es handelt sich um eine medizinische Erkrankung, bei der eine übermäßige Ansammlung </t>
  </si>
  <si>
    <t xml:space="preserve">von Körperfett auftritt. Adipositas Grad 3 wird in der Regel diagnostiziert, </t>
  </si>
  <si>
    <t>wenn der Body-Mass-Index (BMI) einer Person über 40 liegt.</t>
  </si>
  <si>
    <t xml:space="preserve">Menschen mit Adipositas Grad 3 sind stark übergewichtig und haben ein erhöhtes Risiko </t>
  </si>
  <si>
    <t xml:space="preserve">für eine Vielzahl von Gesundheitsproblemen,  einschließlich Herzerkrankungen, Diabetes, </t>
  </si>
  <si>
    <t xml:space="preserve">Die Lebensqualität kann stark beeinträchtigt sein, da alltägliche Aktivitäten erschwert </t>
  </si>
  <si>
    <t xml:space="preserve">werden können und das Risiko von psychischen Problemen wie Depressionen und sozialer </t>
  </si>
  <si>
    <t xml:space="preserve">Isolation steigt. </t>
  </si>
  <si>
    <t xml:space="preserve">hohem Blutdruck, Schlaf-Apnoe, Gelenk-problemen und bestimmten Krebsarten. </t>
  </si>
  <si>
    <t xml:space="preserve">Die Behandlung von Adipositas Grad 3 erfordert in der Regel einen multidisziplinären Ansatz. </t>
  </si>
  <si>
    <t xml:space="preserve">regelmäßiger körperlicher Aktivität, Verhaltenstherapie, Medikamenten und in einigen </t>
  </si>
  <si>
    <t xml:space="preserve">Fällen auch einer bariatrischen Operation beinhalten. </t>
  </si>
  <si>
    <t xml:space="preserve">Dies kann eine Kombination aus einer Änderung des Lebensstils, einer gesunden Ernährung, </t>
  </si>
  <si>
    <t xml:space="preserve">Die Gewichtsreduktion kann dazu beitragen, die damit verbundenen Risiken zu verringern </t>
  </si>
  <si>
    <t>und die Gesundheit zu verbessern.</t>
  </si>
  <si>
    <t xml:space="preserve">Es ist wichtig zu beachten, dass Adipositas eine komplexe Erkrankung ist, und es bedarf </t>
  </si>
  <si>
    <t xml:space="preserve">Menschen mit Adipositas Grad 3 dabei zu helfen, ihre Gesundheitsziele zu erreichen und </t>
  </si>
  <si>
    <t>langfristig ein gesundes Gewicht zu halten.</t>
  </si>
  <si>
    <t xml:space="preserve">von Ärzten, Ernährungsfachleuten und Psychologen sind entscheidend, um </t>
  </si>
  <si>
    <t xml:space="preserve">einer individuellen Herangehensweise, um sie zu bewältigen. Der Rat und die Unterstützung </t>
  </si>
  <si>
    <t xml:space="preserve">Es ist wichtig zu beachten, dass Adipositas eine komplexe Erkrankung ist und individuell unterschiedliche </t>
  </si>
  <si>
    <t xml:space="preserve">Ursachen haben kann. </t>
  </si>
  <si>
    <t xml:space="preserve">wie          Typ-2-Diabetes, Herzerkrankungen, Bluthochdruck, Schlafapnoe, Gelenkprobleme und bestimmte  </t>
  </si>
  <si>
    <t>Übergewicht</t>
  </si>
  <si>
    <t xml:space="preserve">Übergewicht bezieht sich auf einen Zustand, bei dem eine Person mehr Körpergewicht hat, </t>
  </si>
  <si>
    <t xml:space="preserve">als gesund oder normal für ihre Körpergröße und -zusammensetzung ist. Es wird oft durch </t>
  </si>
  <si>
    <t xml:space="preserve">den Body-Mass-Index (BMI) gemessen, der das Verhältnis zwischen Gewicht und Größe </t>
  </si>
  <si>
    <t>und Umweltfaktoren.</t>
  </si>
  <si>
    <t xml:space="preserve">Es ist wichtig anzumerken, dass Übergewicht nicht nur ein kosmetisches Problem ist, </t>
  </si>
  <si>
    <t>sondern auch erhebliche Auswirkungen auf die Gesundheit haben kann.</t>
  </si>
  <si>
    <t xml:space="preserve">einer Person berechnet. Übergewicht liegt vor, wenn der BMI zwischen 25 und 29,9 liegt. </t>
  </si>
  <si>
    <t xml:space="preserve">Das Übergewicht kann auf verschiedene Faktoren zurückzuführen sein, darunter genetische </t>
  </si>
  <si>
    <t xml:space="preserve">Veranlagung, unge-sunde Ernährung, Bewegungsmangel, hormonelle Ungleichgewichte </t>
  </si>
  <si>
    <t xml:space="preserve">Menschen mit Übergewicht haben ein erhöhtes Risiko für eine Vielzahl von </t>
  </si>
  <si>
    <t xml:space="preserve">gesundheitlichen Problemen, darunter Herzerkrankungen, Typ-2-Diabetes, </t>
  </si>
  <si>
    <t xml:space="preserve">hoher Blutdruck, bestimmte Krebsarten, Schlafapnoe, Gelenkprobleme und </t>
  </si>
  <si>
    <t xml:space="preserve">psychische Belastungen wie Depressionen. Es kann auch die Lebensqualität </t>
  </si>
  <si>
    <t>beeinträchtigen und zu Einschränkungen im Alltag führen.</t>
  </si>
  <si>
    <t xml:space="preserve">Die Bewältigung von Übergewicht erfordert oft eine Kombination aus gesunder </t>
  </si>
  <si>
    <t xml:space="preserve">Ernährung, regelmäßiger körperlicher Aktivität, Verhaltensänderungen und </t>
  </si>
  <si>
    <t xml:space="preserve">möglicherweise medizinischer Unterstützung. Es ist wichtig, realistische Ziele zu </t>
  </si>
  <si>
    <t xml:space="preserve">setzen und eine langfristige, nachhaltige Herangehensweise an die </t>
  </si>
  <si>
    <t>Gewichtsabnahme und -erhaltung zu verfolgen.</t>
  </si>
  <si>
    <t>Die Unterstützung durch Familie, Freunde und eine Gemeinschaft von Menschen</t>
  </si>
  <si>
    <t xml:space="preserve">mit ähnlichen Zielen kann ebenfalls von Vorteil sein. Es ist wichtig, Geduld zu </t>
  </si>
  <si>
    <t>haben und sich bewusst zu machen, dass der Prozess der Gewichtsabnahme Zeit und Mühe erfordert</t>
  </si>
  <si>
    <t>Normalgewicht</t>
  </si>
  <si>
    <t xml:space="preserve">Normalgewicht bezieht sich auf einen gesunden Gewichtsbereich, der als angemessen </t>
  </si>
  <si>
    <t xml:space="preserve">für die individuelle Körpergröße, Körperzusammensetzung und Gesundheit einer </t>
  </si>
  <si>
    <t xml:space="preserve">Person betrachtet wird. Es wird oft anhand des Body-Mass-Index (BMI) beurteilt, </t>
  </si>
  <si>
    <t xml:space="preserve">der das Verhältnis zwischen Gewicht und Größe einer Person berechnet und </t>
  </si>
  <si>
    <t>bei Normalgewicht zwischen 18,5 und 24,9 liegt.</t>
  </si>
  <si>
    <t xml:space="preserve">Regelmäßige körperliche Aktivität, die den individuellen Bedürfnissen und Vorlieben </t>
  </si>
  <si>
    <t xml:space="preserve">entspricht, ist ebenfalls wichtig, um ein normales Gewicht zu erreichen und zu halten. </t>
  </si>
  <si>
    <t xml:space="preserve">Aktivitäten wie Gehen, Laufen, Schwimmen oder Radfahren können den Stoffwechsel </t>
  </si>
  <si>
    <t>anregen, die Fettverbrennung fördern und die allgemeine körperliche Fitness verbessern.</t>
  </si>
  <si>
    <t xml:space="preserve">Es ist jedoch wichtig anzumerken, dass das Streben nach einem "normalen" Gewicht </t>
  </si>
  <si>
    <t xml:space="preserve">nicht bedeuten sollte, dem Idealbild von Körpergröße und -form zu entsprechen, das von </t>
  </si>
  <si>
    <t xml:space="preserve">den Medien oder der Gesellschaft vorgegeben wird. Jeder Mensch ist einzigartig und </t>
  </si>
  <si>
    <t xml:space="preserve">individuell, und das Gewicht kann von Person zu Person variieren, abhängig von </t>
  </si>
  <si>
    <t>verschiedenen Faktoren wie Körperbau, Muskelmasse und genetischer Veranlagung.</t>
  </si>
  <si>
    <t xml:space="preserve">Es ist ratsam, mit einem Arzt oder einem Ernährungsfachmann zusammenzuarbeiten, um </t>
  </si>
  <si>
    <t xml:space="preserve">eine individuelle Bewertung des Gewichts vorzunehmen und eine maßgeschneiderte </t>
  </si>
  <si>
    <t xml:space="preserve">Herangehensweise an die Gewichtskontrolle zu entwickeln. Ein gesundes Gewicht sollte </t>
  </si>
  <si>
    <t xml:space="preserve">immer als Teil eines ganzheitlichen Ansatzes zur Förderung der Gesundheit und des </t>
  </si>
  <si>
    <t>Wohlbefindens betrachtet werden, der auf langfristige Veränderungen des Lebensstils abzielt.</t>
  </si>
  <si>
    <t>Untergewicht</t>
  </si>
  <si>
    <t xml:space="preserve">Untergewicht bezieht sich auf einen Zustand, bei dem eine Person ein Gewicht hat, das </t>
  </si>
  <si>
    <t xml:space="preserve">niedriger ist als gesund oder normal für ihre Körpergröße und -zusammensetzung. Es kann </t>
  </si>
  <si>
    <t xml:space="preserve">verschiedene Gründe haben, wie eine genetische Veranlagung, unzureichende </t>
  </si>
  <si>
    <t xml:space="preserve">Nahrungsaufnahme, bestimmte medizinische Bedingungen, psychische Gesundheitsprobleme </t>
  </si>
  <si>
    <t>oder eine Kombination davon.</t>
  </si>
  <si>
    <t xml:space="preserve">Untergewicht kann zu einer Reihe von gesundheitlichen Problemen führen, einschließlich </t>
  </si>
  <si>
    <t xml:space="preserve">erhöhtem Risiko für Infektionen, geschwächtem Immunsystem, Mangelernährung, Muskelabbau, </t>
  </si>
  <si>
    <t xml:space="preserve">Osteoporose, hormonellen Ungleichgewichten und Unfruchtbarkeit. Es kann auch zu einem </t>
  </si>
  <si>
    <t>erhöhten Risiko für Komplikationen während der Schwangerschaft und Geburt führen.</t>
  </si>
  <si>
    <t xml:space="preserve">Die Bewältigung von Untergewicht erfordert in der Regel eine multidisziplinäre Herangehensweise. </t>
  </si>
  <si>
    <t xml:space="preserve">Eine ausgewogene und nährstoffreiche Ernährung ist von großer Bedeutung, um den Körper </t>
  </si>
  <si>
    <t xml:space="preserve">mit den notwendigen Nährstoffen zu versorgen. Der Fokus sollte auf Lebensmitteln mit </t>
  </si>
  <si>
    <t>magerem Eiweiß und kalorienreichen Snacks.</t>
  </si>
  <si>
    <t xml:space="preserve">Es ist wichtig, eine realistische und gesunde Gewichtszunahme anzustreben, die den </t>
  </si>
  <si>
    <t xml:space="preserve">individuellen Bedürfnissen und Fähigkeiten entspricht. Körperliche Aktivität, insbesondere </t>
  </si>
  <si>
    <t xml:space="preserve">Krafttraining, kann helfen, Muskelmasse aufzubauen und die Gewichtszunahme in </t>
  </si>
  <si>
    <t>Form von Muskelmasse statt Fett zu fördern.</t>
  </si>
  <si>
    <t xml:space="preserve">hoher Energiedichte liegen, wie Vollkorn-produkten, Nüssen, Samen, gesunden Fetten, </t>
  </si>
  <si>
    <t xml:space="preserve">Untergewicht sollte ernst genommen werden, da es auf eine zugrunde liegende </t>
  </si>
  <si>
    <t xml:space="preserve">Gesundheitsproblematik hinweisen kann. Eine frühzeitige Identifizierung und Behandlung </t>
  </si>
  <si>
    <t xml:space="preserve">sind wichtig, um das Risiko von Komplikationen zu reduzieren und die Gesundheit </t>
  </si>
  <si>
    <t>und das Wohlbefinden zu verbessern.</t>
  </si>
  <si>
    <t>Kalender-Woche</t>
  </si>
  <si>
    <t>Kalenderwoche:</t>
  </si>
  <si>
    <t>Berechnungen:</t>
  </si>
  <si>
    <t>Dein heutiges Gewicht:</t>
  </si>
  <si>
    <t>BMI aktuell:</t>
  </si>
  <si>
    <t>Heutige Größe:</t>
  </si>
  <si>
    <t>Wochenschnitt:</t>
  </si>
  <si>
    <t>Schmerzgrenze  zur</t>
  </si>
  <si>
    <t>Maximalgewicht in kg</t>
  </si>
  <si>
    <t>Mindestgewicht in kg</t>
  </si>
  <si>
    <t>Gewichtsbetrag:</t>
  </si>
  <si>
    <t>Zeiträume</t>
  </si>
  <si>
    <t>pro Tag:</t>
  </si>
  <si>
    <t>Gramm</t>
  </si>
  <si>
    <t>KW ausgewählt:</t>
  </si>
  <si>
    <t>Betrag zurückwandeln</t>
  </si>
  <si>
    <t>erster rechenschritt</t>
  </si>
  <si>
    <t>Deutsch</t>
  </si>
  <si>
    <t>English</t>
  </si>
  <si>
    <t>Español</t>
  </si>
  <si>
    <t xml:space="preserve">feet, inch, pound </t>
  </si>
  <si>
    <t>=</t>
  </si>
  <si>
    <t>Dein Wunschtag:</t>
  </si>
  <si>
    <t>Dein Wunschmonat:</t>
  </si>
  <si>
    <t xml:space="preserve">Dein Wunschjahr: </t>
  </si>
  <si>
    <t>Januar</t>
  </si>
  <si>
    <t>Februar</t>
  </si>
  <si>
    <t>März</t>
  </si>
  <si>
    <t>April</t>
  </si>
  <si>
    <t>Mai</t>
  </si>
  <si>
    <t>Juni</t>
  </si>
  <si>
    <t>Juli</t>
  </si>
  <si>
    <t>August</t>
  </si>
  <si>
    <t>September</t>
  </si>
  <si>
    <t>Oktober</t>
  </si>
  <si>
    <t>November</t>
  </si>
  <si>
    <t>Dezember</t>
  </si>
  <si>
    <t>Aktuell</t>
  </si>
  <si>
    <t>Wunschtermin</t>
  </si>
  <si>
    <t>Interne Nummer</t>
  </si>
  <si>
    <t>Wochentag</t>
  </si>
  <si>
    <t>Sollte jemand vergessen haben, die Zeit auf "Aktuell" zurückzustellen, sodass permanent das falsche Datum angezeigt wird, kannst du hier den "Wunschtermin" in "aktuelles Datum" abändern, indem du auf die blaue Zelle klickst und dann das graue Dreieck rechts der Zelle anwählst!</t>
  </si>
  <si>
    <t>erstellte KW:</t>
  </si>
  <si>
    <t>Ergebnis KW-Subtrak.</t>
  </si>
  <si>
    <t>Kommentare zum Gewicht</t>
  </si>
  <si>
    <t>Obesity grade 1</t>
  </si>
  <si>
    <t>approach to managing grade 1 obesity.</t>
  </si>
  <si>
    <t xml:space="preserve">Obesity grade 1 is a classification of obesity based on body mass index (BMI).  </t>
  </si>
  <si>
    <t xml:space="preserve">BMI is a common method of evaluating the ratio of weight to height. </t>
  </si>
  <si>
    <t xml:space="preserve">Grade 1 obesity is when the BMI is between 30 and 34.9.  </t>
  </si>
  <si>
    <t xml:space="preserve">excessive accumulation of body fat. </t>
  </si>
  <si>
    <t xml:space="preserve">health effects. </t>
  </si>
  <si>
    <t xml:space="preserve">This level of obesity is considered mild to moderate and can have various </t>
  </si>
  <si>
    <t xml:space="preserve">People with obesity grade 1 have increased body weight, which is usually due to an </t>
  </si>
  <si>
    <t xml:space="preserve">The potential effects of grade 1 obesity include an increased risk of diseases </t>
  </si>
  <si>
    <t xml:space="preserve">such as type 2 diabetes, heart disease, high blood pressure, sleep apnea, joint problems, and certain </t>
  </si>
  <si>
    <t xml:space="preserve">cancers. </t>
  </si>
  <si>
    <t xml:space="preserve">In addition, psychological distress, such as low self-esteem or depression, </t>
  </si>
  <si>
    <t xml:space="preserve">may occur. </t>
  </si>
  <si>
    <t xml:space="preserve">Treatment for grade 1 obesity usually involves a combination of healthy </t>
  </si>
  <si>
    <t xml:space="preserve">Diet, regular physical activity and behavioral changes. </t>
  </si>
  <si>
    <t xml:space="preserve">The focus is on developing a healthy lifestyle to lose weight and </t>
  </si>
  <si>
    <t xml:space="preserve">maintain it over the long term. </t>
  </si>
  <si>
    <t xml:space="preserve">It is important to note that obesity is a complex condition and can have different individual </t>
  </si>
  <si>
    <t xml:space="preserve">Professional medical advice and guidance are therefore advisable to determine the best  </t>
  </si>
  <si>
    <t>Obesidad grado 1</t>
  </si>
  <si>
    <t xml:space="preserve">El grado 1 de obesidad es una clasificación de la obesidad basada en el índice de masa corporal (IMC). </t>
  </si>
  <si>
    <t xml:space="preserve">El IMC es un método habitual para evaluar la relación entre el peso y la estatura. </t>
  </si>
  <si>
    <t xml:space="preserve">El grado 1 de obesidad se da cuando el IMC se sitúa entre 30 y 34,9. </t>
  </si>
  <si>
    <t xml:space="preserve">Las personas con obesidad de grado 1 tienen un peso corporal elevado, que suele deberse a una </t>
  </si>
  <si>
    <t xml:space="preserve">acumulación excesiva de grasa corporal. </t>
  </si>
  <si>
    <t xml:space="preserve">Este nivel de obesidad se considera de leve a moderado y puede tener diversos </t>
  </si>
  <si>
    <t xml:space="preserve">efectos sobre la salud. </t>
  </si>
  <si>
    <t xml:space="preserve">Los posibles efectos de la obesidad de grado 1 incluyen un mayor riesgo de enfermedades </t>
  </si>
  <si>
    <t xml:space="preserve">como la diabetes de tipo 2, las cardiopatías, la hipertensión, la apnea del sueño, los problemas articulares y ciertos cánceres. </t>
  </si>
  <si>
    <t xml:space="preserve">Además, pueden producirse trastornos psicológicos, como baja autoestima o depresión, </t>
  </si>
  <si>
    <t xml:space="preserve">puede aparecer. </t>
  </si>
  <si>
    <t xml:space="preserve">actividad física regular y cambios de comportamiento. </t>
  </si>
  <si>
    <t xml:space="preserve">La atención se centra en desarrollar un estilo de vida saludable para perder peso y </t>
  </si>
  <si>
    <t xml:space="preserve">mantenerlo a largo plazo. </t>
  </si>
  <si>
    <t xml:space="preserve">Es importante tener en cuenta que la obesidad es una enfermedad compleja y puede tener diferentes causas individuales. </t>
  </si>
  <si>
    <t xml:space="preserve">Por lo tanto, es aconsejable el asesoramiento y la atención médica profesional para determinar el </t>
  </si>
  <si>
    <t xml:space="preserve">mejor enfoque para tratar la obesidad de grado 1. </t>
  </si>
  <si>
    <t xml:space="preserve">El tratamiento de la obesidad de grado 1 suele consistir en una combinación de dieta sana, </t>
  </si>
  <si>
    <t xml:space="preserve">causes. </t>
  </si>
  <si>
    <t>Obesity grade 2</t>
  </si>
  <si>
    <t>Obesity grade 2 is diagnosed by body mass index (BMI), which calculates the ratio of body weight to height.</t>
  </si>
  <si>
    <t xml:space="preserve">A BMI between 35 and 39.9 is classified as obesity grade 2. This means that a person with this degree  </t>
  </si>
  <si>
    <t xml:space="preserve">of obesity has a significantly increased body weight above normal. </t>
  </si>
  <si>
    <t xml:space="preserve">The main cause of obesity grade 2 is a long-term energy balance disorder in which the energy taken </t>
  </si>
  <si>
    <t xml:space="preserve">in exceeds the energy used. </t>
  </si>
  <si>
    <t xml:space="preserve">This can be caused by a combination of genetic predisposition and unhealthy diet, lack of exercise, </t>
  </si>
  <si>
    <t xml:space="preserve">Grade 2 obesity is often associated with a number of comorbidities such as diabetes, hypertension, </t>
  </si>
  <si>
    <t>cardiovascular disease and joint problems.</t>
  </si>
  <si>
    <t xml:space="preserve">Treatment of grade 2 obesity requires a multidisciplinary approach. The main goals are to reduce </t>
  </si>
  <si>
    <t xml:space="preserve">weight, increase physical activity, and promote a healthy diet. This can be achieved through a </t>
  </si>
  <si>
    <t xml:space="preserve">combination of nutritional counseling, exercise therapy, and behavioral changes. </t>
  </si>
  <si>
    <t xml:space="preserve">A long-term approach to weight loss and maintaining a healthy lifestyle is critical. </t>
  </si>
  <si>
    <t>Obesidad grado 2</t>
  </si>
  <si>
    <t xml:space="preserve">La obesidad de grado 2 se diagnostica mediante el índice de masa corporal (IMC), que calcula la </t>
  </si>
  <si>
    <t xml:space="preserve"> relación entre el peso corporal y la estatura. Un IMC entre 35 y 39,9 se clasifica como obesidad de grado 2. </t>
  </si>
  <si>
    <t xml:space="preserve">Esto significa que una persona con este grado de obesidad tiene un peso corporal </t>
  </si>
  <si>
    <t xml:space="preserve">significativamente superior al normal. </t>
  </si>
  <si>
    <t xml:space="preserve">La causa principal de la obesidad de grado 2 es un trastorno del equilibrio energético a largo </t>
  </si>
  <si>
    <t xml:space="preserve">plazo en el que la energía ingerida supera a la utilizada. Esto puede deberse a una combinación </t>
  </si>
  <si>
    <t xml:space="preserve">de predisposición genética y dieta poco saludable, falta de ejercicio, factores psicológicos y factores </t>
  </si>
  <si>
    <t>ambientales.</t>
  </si>
  <si>
    <t xml:space="preserve">La obesidad de grado 2 suele ir asociada a una serie de enfermedades concomitantes como diabetes, </t>
  </si>
  <si>
    <t>hipertensión arterial, enfermedades cardiovasculares y problemas articulares.</t>
  </si>
  <si>
    <t>El tratamiento de la obesidad de grado 2 requiere un enfoque multidisciplinar.</t>
  </si>
  <si>
    <t xml:space="preserve">Los principales objetivos son reducir el peso, aumentar la actividad física y promover una dieta sana. </t>
  </si>
  <si>
    <t xml:space="preserve">Esto puede lograrse mediante una combinación de asesoramiento nutricional, terapia de ejercicio </t>
  </si>
  <si>
    <t>y cambios de comportamiento.</t>
  </si>
  <si>
    <t>Es esencial un enfoque a largo plazo de la pérdida de peso y el mantenimiento de un estilo de vida saludable.</t>
  </si>
  <si>
    <t xml:space="preserve">La obesidad de grado 2 es un grave problema de salud asociado a un mayor riesgo de diversas enfermedades. </t>
  </si>
  <si>
    <t>psycho-logical factors and environmental factors.</t>
  </si>
  <si>
    <t xml:space="preserve">Grade 2 obesity is a serious health challenge associated with an increased risk of several diseases. </t>
  </si>
  <si>
    <t>Obesity grade 3</t>
  </si>
  <si>
    <t>Grade 3 obesity, also known as severe obesity or extreme obesity, is the highest level of obesity or fatness.</t>
  </si>
  <si>
    <t xml:space="preserve">It is a medical condition in which there is an excessive accumulation of body fat. Obesity grade 3 is </t>
  </si>
  <si>
    <t>usually diagnosed when a person's body mass index (BMI) is over 40.</t>
  </si>
  <si>
    <t xml:space="preserve">People with obesity grade 3 are severely overweight and are at increased risk for a variety of health </t>
  </si>
  <si>
    <t xml:space="preserve">problems, including heart disease, diabetes, high blood pressure, sleep apnea, joint problems and </t>
  </si>
  <si>
    <t xml:space="preserve">certain cancers. Quality of life can be severely impaired, as daily activities can become more difficult </t>
  </si>
  <si>
    <t xml:space="preserve">and the risk of psychological problems such as depression and social isolation increases. </t>
  </si>
  <si>
    <t xml:space="preserve">Treatment of grade 3 obesity usually requires a multidisciplinary approach. </t>
  </si>
  <si>
    <t xml:space="preserve">This may include a combination of lifestyle changes, a healthy diet, regular physical activity, </t>
  </si>
  <si>
    <t>behavioral therapy, medications and, in some cases, bariatric surgery.</t>
  </si>
  <si>
    <t>Weight loss can help reduce associated risks and improve health.</t>
  </si>
  <si>
    <t xml:space="preserve">It is important to note that obesity is a complex condition, and an individualized approach is needed </t>
  </si>
  <si>
    <t xml:space="preserve">to manage it. The advice and support of physicians, nutritionists, and psychologists are critical to </t>
  </si>
  <si>
    <t xml:space="preserve">helping people with grade 3 obesity achieve their health goals and maintain a healthy weight over </t>
  </si>
  <si>
    <t>the long term.</t>
  </si>
  <si>
    <t>Obesidad grado 3</t>
  </si>
  <si>
    <t xml:space="preserve">La obesidad de grado 3, también conocida como obesidad grave u obesidad extrema, es el nivel más </t>
  </si>
  <si>
    <t xml:space="preserve">alto de obesidad o gordura. Es una afección médica en la que existe una acumulación excesiva de grasa </t>
  </si>
  <si>
    <t xml:space="preserve">corporal. La obesidad de grado 3 suele diagnosticarse cuando el índice de masa corporal (IMC) de </t>
  </si>
  <si>
    <t>una persona es superior a 40.</t>
  </si>
  <si>
    <t xml:space="preserve">Las personas con obesidad de grado 3 tienen un sobrepeso grave y un mayor riesgo de padecer </t>
  </si>
  <si>
    <t xml:space="preserve">diversos problemas de salud, como cardiopatías, diabetes, hipertensión, apnea del sueño, problemas </t>
  </si>
  <si>
    <t>articulares y ciertos tipos de cáncer.</t>
  </si>
  <si>
    <t xml:space="preserve">La calidad de vida puede verse gravemente afectada, ya que las actividades cotidianas pueden </t>
  </si>
  <si>
    <t xml:space="preserve">resultar más difíciles y aumenta el riesgo de problemas de salud mental como la depresión y el </t>
  </si>
  <si>
    <t>aislamiento social.</t>
  </si>
  <si>
    <t xml:space="preserve">El tratamiento de la obesidad de grado 3 suele requerir un enfoque multidisciplinar. </t>
  </si>
  <si>
    <t xml:space="preserve">Puede incluir una combinación de cambios en el estilo de vida, una dieta sana, actividad física regular, </t>
  </si>
  <si>
    <t>terapia conductual, medicación y, en algunos casos, cirugía bariátrica.</t>
  </si>
  <si>
    <t xml:space="preserve">Es importante tener en cuenta que la obesidad es una enfermedad compleja y que su tratamiento </t>
  </si>
  <si>
    <t xml:space="preserve">requiere un enfoque individual. El asesoramiento y el apoyo de médicos, dietistas y psicólogos son </t>
  </si>
  <si>
    <t xml:space="preserve">cruciales para ayudar a las personas con obesidad de grado 3 a alcanzar sus objetivos de salud y a </t>
  </si>
  <si>
    <t>mantener un peso saludable a largo plazo.</t>
  </si>
  <si>
    <t xml:space="preserve">La pérdida de peso puede ayudar a reducir los riesgos asociados y mejorar la salud. </t>
  </si>
  <si>
    <t>Overweight</t>
  </si>
  <si>
    <t xml:space="preserve">Overweight refers to a condition in which a person has more body weight than is healthy or normal </t>
  </si>
  <si>
    <t xml:space="preserve">for their body size and composition. It is often measured by body mass index (BMI), which calculates </t>
  </si>
  <si>
    <t>the relationship between a person's weight and height. Overweight is when the BMI is between 25 and 29.9!</t>
  </si>
  <si>
    <t xml:space="preserve">Overweight can be due to a variety of factors, including genetic predisposition, unhealthy diet, lack </t>
  </si>
  <si>
    <t xml:space="preserve">of exercise, hormonal imbalances and environmental factors. It is important to note that overweight </t>
  </si>
  <si>
    <t>is not only a cosmetic problem, but can also have a significant impact on health.</t>
  </si>
  <si>
    <t xml:space="preserve">People who are overweight are at increased risk for a variety of health problems, including heart disease, </t>
  </si>
  <si>
    <t xml:space="preserve">type 2 diabetes, high blood pressure, certain cancers, sleep apnea, joint problems and </t>
  </si>
  <si>
    <t>daily living.</t>
  </si>
  <si>
    <t xml:space="preserve">psychological distress such as depression. It can also affect quality of life and lead to limitations in </t>
  </si>
  <si>
    <t xml:space="preserve">Managing overweight often requires a combination of healthy eating, regular physical activity, </t>
  </si>
  <si>
    <t>sustainable approach to weight loss and maintenance.</t>
  </si>
  <si>
    <t xml:space="preserve">Support from family, friends, and a community of people with similar goals can also be beneficial. It is </t>
  </si>
  <si>
    <t>important to be patient and realize that the weight loss process takes time and effort!</t>
  </si>
  <si>
    <t>Sobrepeso</t>
  </si>
  <si>
    <t xml:space="preserve">El sobrepeso se refiere a una condición en la que una persona tiene más peso corporal del que es </t>
  </si>
  <si>
    <t xml:space="preserve">saludable o normal para su estatura y composición corporal. Suele medirse por el índice de masa </t>
  </si>
  <si>
    <t xml:space="preserve">tener importantes repercusiones en la salud. Las personas con sobrepeso corren un mayor riesgo de </t>
  </si>
  <si>
    <t xml:space="preserve">tipos de cáncer, apnea del sueño, problemas articulares y trastornos psicológicos como la depresión. </t>
  </si>
  <si>
    <t>También puede afectar a la calidad de vida y provocar limitaciones en la vida cotidiana.</t>
  </si>
  <si>
    <t xml:space="preserve">El control del sobrepeso suele requerir una combinación de alimentación sana, actividad física </t>
  </si>
  <si>
    <t xml:space="preserve">regular, cambios de comportamiento y, posiblemente, apoyo médico. Es importante fijarse objetivos </t>
  </si>
  <si>
    <t>realistas y adoptar un enfoque sostenible a largo plazo para perder peso y mantenerlo.</t>
  </si>
  <si>
    <t xml:space="preserve">El apoyo de la familia, los amigos y una comunidad de personas con objetivos similares también </t>
  </si>
  <si>
    <t xml:space="preserve">puede ser beneficioso. Es importante ser paciente y darse cuenta de que el proceso de pérdida de </t>
  </si>
  <si>
    <t>peso requiere tiempo y esfuerzo.</t>
  </si>
  <si>
    <t xml:space="preserve">corporal (IMC), que calcula la relación entre el peso y la estatura de una persona. </t>
  </si>
  <si>
    <t xml:space="preserve">Hay Sobrepeso cuando el IMC se sitúa entre 25 y 29,9. </t>
  </si>
  <si>
    <t xml:space="preserve">El sobrepeso puede deberse a diversos factores, como la predisposición genética, una dieta poco </t>
  </si>
  <si>
    <t>saludable, falta de ejercicio, desequilibrios hormonales y factores medioambientales.</t>
  </si>
  <si>
    <t xml:space="preserve">Es importante señalar que el sobrepeso no es sólo un problema estético, sino que también puede </t>
  </si>
  <si>
    <t xml:space="preserve">behavioral changes and possibly medical support. It is important to set realistic goals and take a longterm, </t>
  </si>
  <si>
    <t>Normal weight</t>
  </si>
  <si>
    <t xml:space="preserve">Normal weight refers to a healthy weight range that is considered appropriate for an individual's </t>
  </si>
  <si>
    <t xml:space="preserve">the body mass index (BMI), which calculates the relationship between a person's weight and height </t>
  </si>
  <si>
    <t>and ranges from 18.5 to 24.9 for normal weight.</t>
  </si>
  <si>
    <t xml:space="preserve">Regular physical activity that meets individual needs and preferences is also important to achieve and </t>
  </si>
  <si>
    <t>maintain a normal weight.</t>
  </si>
  <si>
    <t xml:space="preserve">Activities such as walking, running, swimming or cycling can stimulate metabolism, promote fat </t>
  </si>
  <si>
    <t xml:space="preserve">However, it is important to note that striving for a "normal" weight should not mean conforming to </t>
  </si>
  <si>
    <t xml:space="preserve">the ideal image of body size and shape provided by the media or society. Each person is unique and </t>
  </si>
  <si>
    <t xml:space="preserve">individual, and weight can vary from person to person depending on various factors such as physique, </t>
  </si>
  <si>
    <t>muscle mass, and genetic predisposition.</t>
  </si>
  <si>
    <t xml:space="preserve">It is advisable to work with a physician or nutrition professional to perform an individualized weight </t>
  </si>
  <si>
    <t xml:space="preserve">assessment and develop a tailored approach to weight management. A healthy weight should always </t>
  </si>
  <si>
    <t>be considered as part of a holistic approach to promoting health and wellness that focuses on long-</t>
  </si>
  <si>
    <t>term lifestyle changes.</t>
  </si>
  <si>
    <t>Peso normal</t>
  </si>
  <si>
    <t xml:space="preserve">El peso normal se refiere a un intervalo de peso saludable que se considera adecuado para la </t>
  </si>
  <si>
    <t>estatura, la composición corporal y la salud de un individuo.</t>
  </si>
  <si>
    <t xml:space="preserve">A menudo se evalúa mediante el índice de masa corporal (IMC), que calcula la relación entre el peso </t>
  </si>
  <si>
    <t>y la estatura de una persona y oscila entre 18,5 y 24,9 para el peso normal.</t>
  </si>
  <si>
    <t xml:space="preserve">Para alcanzar y mantener un peso normal también es importante realizar una actividad física regular </t>
  </si>
  <si>
    <t>que se ajuste a las necesidades y preferencias individuales.</t>
  </si>
  <si>
    <t xml:space="preserve">Actividades como caminar, correr, nadar o montar en bicicleta pueden estimular el metabolismo, </t>
  </si>
  <si>
    <t>favorecer la quema de grasas y mejorar la forma física general.</t>
  </si>
  <si>
    <t xml:space="preserve">Sin embargo, es importante tener en cuenta que esforzarse por tener un peso "normal" no debe </t>
  </si>
  <si>
    <t xml:space="preserve">significar ajustarse a la imagen ideal del tamaño y la forma del cuerpo establecida por los medios de </t>
  </si>
  <si>
    <t xml:space="preserve">comunicación o la sociedad. Cada persona es única e individual, y el peso puede variar de una </t>
  </si>
  <si>
    <t xml:space="preserve">persona a otra en función de diversos factores como el físico, la masa muscular y la predisposición </t>
  </si>
  <si>
    <t>genética.</t>
  </si>
  <si>
    <t xml:space="preserve">Es aconsejable trabajar con un médico o nutricionista para hacer una evaluación individual del peso y </t>
  </si>
  <si>
    <t xml:space="preserve">desarrollar un enfoque adaptado a la gestión del peso. Un peso saludable debe considerarse siempre </t>
  </si>
  <si>
    <t xml:space="preserve">como parte de un enfoque holístico para promover la salud y el bienestar, orientado a cambios en el </t>
  </si>
  <si>
    <t>estilo de vida a largo plazo.</t>
  </si>
  <si>
    <t xml:space="preserve">burning and improve overall physical fitness. </t>
  </si>
  <si>
    <t xml:space="preserve">height, body composition and health of a person. It is often assessed using 
</t>
  </si>
  <si>
    <t>Underweight</t>
  </si>
  <si>
    <t xml:space="preserve">Underweight refers to a condition in which a person has a weight that is lower than healthy or normal </t>
  </si>
  <si>
    <t xml:space="preserve">for their body size and composition. It can be due to a number of reasons, including a genetic </t>
  </si>
  <si>
    <t xml:space="preserve">predisposition, inadequate food intake, certain medical conditions, mental health problems, or a </t>
  </si>
  <si>
    <t>combination of these.</t>
  </si>
  <si>
    <t xml:space="preserve">Being underweight can lead to a number of health problems, including increased risk for infections, </t>
  </si>
  <si>
    <t xml:space="preserve">weakened immune system, malnutrition, muscle loss, osteoporosis, hormonal imbalances and </t>
  </si>
  <si>
    <t>infertility. It can also lead to an increased risk of complications during pregnancy and childbirth.</t>
  </si>
  <si>
    <t xml:space="preserve">Managing underweight usually requires a multidisciplinary approach. A balanced, nutrient-dense diet </t>
  </si>
  <si>
    <t xml:space="preserve">is essential to provide the body with the nutrients it needs. The focus should be on foods with high </t>
  </si>
  <si>
    <t>energy density, such as whole grains, nuts, seeds, healthy fats, lean protein, and high-calorie snacks.</t>
  </si>
  <si>
    <t xml:space="preserve">It is important to aim for a realistic and healthy weight gain that fits individual needs and abilities. </t>
  </si>
  <si>
    <t xml:space="preserve">Physical activity, especially strength training, can help build muscle mass and promote weight gain in </t>
  </si>
  <si>
    <t>the form of muscle mass rather than fat.</t>
  </si>
  <si>
    <t xml:space="preserve">Underweight should be taken seriously as it may indicate an underlying health issue. Early </t>
  </si>
  <si>
    <t xml:space="preserve">identification and treatment are important to reduce the risk of complications and improve health </t>
  </si>
  <si>
    <t>and well-being.</t>
  </si>
  <si>
    <t>Bajo peso</t>
  </si>
  <si>
    <t xml:space="preserve">El bajo peso es una condición en la que una persona tiene un peso inferior al saludable o normal para </t>
  </si>
  <si>
    <t xml:space="preserve">su tamaño y composición corporal. Puede deberse a varias razones, como una predisposición </t>
  </si>
  <si>
    <t xml:space="preserve">genética, una ingesta alimentaria inadecuada, determinadas afecciones médicas, problemas de salud </t>
  </si>
  <si>
    <t>mental o una combinación de todos ellos.</t>
  </si>
  <si>
    <t xml:space="preserve">La falta de peso puede acarrear una serie de problemas de salud, como un mayor riesgo de </t>
  </si>
  <si>
    <t xml:space="preserve">infecciones, debilitamiento del sistema inmunitario, desnutrición, pérdida de masa muscular, </t>
  </si>
  <si>
    <t xml:space="preserve">osteoporosis, desequilibrios hormonales e infertilidad. También puede aumentar el riesgo de </t>
  </si>
  <si>
    <t>complicaciones durante el embarazo y el parto.</t>
  </si>
  <si>
    <t xml:space="preserve">El tratamiento del bajo peso suele requerir un enfoque multidisciplinar. Una dieta equilibrada y </t>
  </si>
  <si>
    <t xml:space="preserve">nutritiva es de gran importancia para aportar al organismo los nutrientes necesarios. Hay que </t>
  </si>
  <si>
    <t xml:space="preserve">centrarse en los alimentos con alta densidad energética, como los productos integrales, los frutos </t>
  </si>
  <si>
    <t>secos, las semillas, las grasas saludables, las proteínas magras y los tentempiés ricos en calorías.</t>
  </si>
  <si>
    <t xml:space="preserve">Es importante aspirar a un aumento de peso realista y saludable que se adapte a las necesidades y </t>
  </si>
  <si>
    <t xml:space="preserve">capacidades individuales. La actividad física, especialmente el entrenamiento de fuerza, puede </t>
  </si>
  <si>
    <t xml:space="preserve">ayudar a aumentar la masa muscular y favorecer el aumento de peso en forma de masa muscular en </t>
  </si>
  <si>
    <t>lugar de grasa.</t>
  </si>
  <si>
    <t xml:space="preserve">La falta de peso debe tomarse en serio, ya que puede indicar un problema de salud subyacente. La </t>
  </si>
  <si>
    <t xml:space="preserve">detección y el tratamiento precoces son importantes para reducir el riesgo de complicaciones y </t>
  </si>
  <si>
    <t>mejorar la salud y el bienestar.</t>
  </si>
  <si>
    <t>Wie ich gerade festgestellt habe, hast du deine Gewichtstabelle für heute noch gar nicht ausgefüllt!</t>
  </si>
  <si>
    <t>Kommen wir nun zur Auswertung, du befindest dich mit deinem Tagesgewicht in der Kategorie:</t>
  </si>
  <si>
    <t>I just noticed you haven't even filled out your weight chart for today!</t>
  </si>
  <si>
    <t>Now we come to the evaluation, you are with your daily weight in the category:</t>
  </si>
  <si>
    <t>Einzelne Sätze in deutsch</t>
  </si>
  <si>
    <t>Single sentences in english</t>
  </si>
  <si>
    <t>Frases sueltas en español</t>
  </si>
  <si>
    <t>Ahora pasamos a la evaluación, estás en la categoría con tu peso diario:</t>
  </si>
  <si>
    <t xml:space="preserve">As I just noticed, you have already very diligently entered your weight today. Exemplary! </t>
  </si>
  <si>
    <t>¡Acabo de darme cuenta de que no has rellenado tu tabla de pesos de hoy!</t>
  </si>
  <si>
    <t>Die nächstniedere Stufe vor dem Übergewicht ist das heißersehnte Normalgewicht.</t>
  </si>
  <si>
    <t xml:space="preserve">Acabo de darme cuenta de que has sido muy diligente a la hora de rellenar tu peso de hoy. ¡Ejemplar! </t>
  </si>
  <si>
    <t xml:space="preserve">Wie ich gerade festgestellt habe, hast du heute schon sehr fleißig dein Gewicht eingetragen. Vorbildlich! </t>
  </si>
  <si>
    <t xml:space="preserve">Du bist im Normalgewicht, am besten alles so belassen, wie es ist! </t>
  </si>
  <si>
    <t xml:space="preserve">Die nächsthöhere Stufe nach dem Untergewicht ist das erstrebendswerte Normalgewicht. </t>
  </si>
  <si>
    <t xml:space="preserve">Trage hier unten dein Wunschgewicht ein und den Zeitraum, in dem du es zu erreichen versuchst: </t>
  </si>
  <si>
    <t xml:space="preserve">The next level down from overweight is the much desired normal weight. </t>
  </si>
  <si>
    <t xml:space="preserve">You are at normal weight, best to keep everything as it is! </t>
  </si>
  <si>
    <t xml:space="preserve">The next higher level after underweight is the desirable normal weight. </t>
  </si>
  <si>
    <t xml:space="preserve">Enter your desired weight below and the time period in which you are trying to reach it: </t>
  </si>
  <si>
    <t xml:space="preserve">El siguiente nivel por debajo del sobrepeso es el tan deseado peso normal. </t>
  </si>
  <si>
    <t xml:space="preserve">Tienes un peso normal, ¡mejor dejarlo todo como está! </t>
  </si>
  <si>
    <t xml:space="preserve">El nivel inmediatamente superior después del bajo peso es el peso normal deseable. </t>
  </si>
  <si>
    <t xml:space="preserve">Introduzca a continuación su peso deseado y el periodo de tiempo en el que pretende alcanzarlo: </t>
  </si>
  <si>
    <t xml:space="preserve">El siguiente nivel por debajo de la obesidad grado 3 sería la obesidad grado 2, a la que habría que dirigirse. </t>
  </si>
  <si>
    <t xml:space="preserve">El siguiente nivel por debajo de la obesidad grado 2 sería la obesidad grado 1, a la que habría que dirigirse. </t>
  </si>
  <si>
    <t xml:space="preserve">El siguiente nivel por debajo de la obesidad grado 1 sería el sobrepeso, que es nuestro siguiente objetivo. </t>
  </si>
  <si>
    <t xml:space="preserve">The next level down from obesity grade 3 would be obesity grade 2, which is the level to target. </t>
  </si>
  <si>
    <t xml:space="preserve">The next level down from obesity grade 2 would be obesity grade 1, which is the level to target. </t>
  </si>
  <si>
    <t xml:space="preserve">The next level down from obesity grade 1 would then be overweight, which is our next target. </t>
  </si>
  <si>
    <t xml:space="preserve">Die nächstniedere Stufe vor Adipositas Grad 3 wäre Adipostias Grad 2, welche es anzuvisieren gilt. </t>
  </si>
  <si>
    <t xml:space="preserve">Die nächstniedere Stufe vor Adipositas Grad 2 wäre Adipostias Grad 1, welche es anzuvisieren gilt. </t>
  </si>
  <si>
    <t xml:space="preserve">Die nächstniedere Stufe vor Adipositias Grad 1 wäre dann das Übergewicht, was unser nächstes Ziel ist. </t>
  </si>
  <si>
    <t>deutsche Zeiten</t>
  </si>
  <si>
    <t>infotext fitness deutsch</t>
  </si>
  <si>
    <t xml:space="preserve">In einer Welt, die von Technologie und Bequemlichkeit geprägt ist, kann es leicht passieren, dass wir zu </t>
  </si>
  <si>
    <t xml:space="preserve">Stubenhockern werden. Stundenlanges Sitzen vor dem Bildschirm und wenig Bewegung können langfristig </t>
  </si>
  <si>
    <t xml:space="preserve">zu gesundheitlichen Problemen führen. Doch keine Sorge! Es gibt zahlreiche sportliche Übungen, die speziell </t>
  </si>
  <si>
    <t>für Stubenhocker entwickelt wurden, um den Körper zu aktivieren und fit zu bleiben.</t>
  </si>
  <si>
    <t>infotext fitness englisch</t>
  </si>
  <si>
    <t xml:space="preserve">In a world dominated by technology and convenience, it can be easy for us to become couch potatoes. </t>
  </si>
  <si>
    <t xml:space="preserve">Hours of sitting in front of a screen and little exercise can lead to long-term health problems. </t>
  </si>
  <si>
    <t>activate the body and stay fit.</t>
  </si>
  <si>
    <t xml:space="preserve">But don't worry! There are numerous athletic exercises designed specifically for couch potatoes to </t>
  </si>
  <si>
    <t xml:space="preserve">Pasar horas sentados frente a una pantalla y hacer poco ejercicio puede acarrear problemas de salud a largo plazo. </t>
  </si>
  <si>
    <t>infotext fitness español</t>
  </si>
  <si>
    <t xml:space="preserve">En un mundo dominado por la tecnología y la comodidad, nos resulta fácil convertirnos en teleadictos. </t>
  </si>
  <si>
    <t>teleadictos activen el cuerpo y se mantengan en forma.</t>
  </si>
  <si>
    <t>Fitness</t>
  </si>
  <si>
    <t xml:space="preserve">Pero no te preocupes. Existen numerosos ejercicios deportivos especialmente diseñados para que los </t>
  </si>
  <si>
    <t>KW 33</t>
  </si>
  <si>
    <t>2 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</si>
</sst>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0"/>
      <name val="Calibri"/>
      <family val="2"/>
      <scheme val="minor"/>
    </font>
    <font>
      <b/>
      <i/>
      <sz val="12"/>
      <color theme="0"/>
      <name val="Calibri"/>
      <family val="2"/>
      <scheme val="minor"/>
    </font>
    <font>
      <b/>
      <i/>
      <sz val="11"/>
      <color theme="1"/>
      <name val="Calibri"/>
      <family val="2"/>
      <scheme val="minor"/>
    </font>
    <font>
      <i/>
      <sz val="11"/>
      <color theme="1"/>
      <name val="Calibri"/>
      <family val="2"/>
      <scheme val="minor"/>
    </font>
    <font>
      <b/>
      <sz val="11"/>
      <color theme="1"/>
      <name val="Calibri"/>
      <family val="2"/>
      <scheme val="minor"/>
    </font>
    <font>
      <sz val="8"/>
      <name val="Calibri"/>
      <family val="2"/>
      <scheme val="minor"/>
    </font>
    <font>
      <b/>
      <i/>
      <sz val="11"/>
      <color theme="0"/>
      <name val="Calibri"/>
      <family val="2"/>
      <scheme val="minor"/>
    </font>
    <font>
      <b/>
      <i/>
      <sz val="11"/>
      <color theme="1" tint="4.9989318521683403E-2"/>
      <name val="Calibri"/>
      <family val="2"/>
      <scheme val="minor"/>
    </font>
    <font>
      <b/>
      <i/>
      <sz val="13"/>
      <color theme="1"/>
      <name val="Calibri"/>
      <family val="2"/>
      <scheme val="minor"/>
    </font>
    <font>
      <b/>
      <i/>
      <sz val="12"/>
      <color theme="1"/>
      <name val="Calibri"/>
      <family val="2"/>
      <scheme val="minor"/>
    </font>
    <font>
      <b/>
      <i/>
      <sz val="14"/>
      <color theme="1"/>
      <name val="Calibri"/>
      <family val="2"/>
      <scheme val="minor"/>
    </font>
    <font>
      <b/>
      <i/>
      <sz val="10"/>
      <color theme="0"/>
      <name val="Calibri"/>
      <family val="2"/>
      <scheme val="minor"/>
    </font>
    <font>
      <b/>
      <i/>
      <sz val="8"/>
      <color theme="9" tint="-0.499984740745262"/>
      <name val="Calibri"/>
      <family val="2"/>
      <scheme val="minor"/>
    </font>
    <font>
      <b/>
      <i/>
      <sz val="10.5"/>
      <color theme="0"/>
      <name val="Calibri"/>
      <family val="2"/>
      <scheme val="minor"/>
    </font>
    <font>
      <sz val="11"/>
      <color theme="1"/>
      <name val="Calibri"/>
      <family val="2"/>
      <scheme val="minor"/>
    </font>
    <font>
      <b/>
      <sz val="12"/>
      <color theme="1"/>
      <name val="Calibri"/>
      <family val="2"/>
      <scheme val="minor"/>
    </font>
    <font>
      <sz val="9"/>
      <color theme="1"/>
      <name val="Calibri"/>
      <family val="2"/>
      <scheme val="minor"/>
    </font>
    <font>
      <i/>
      <sz val="10"/>
      <color theme="1"/>
      <name val="Calibri"/>
      <family val="2"/>
      <scheme val="minor"/>
    </font>
    <font>
      <b/>
      <i/>
      <sz val="16"/>
      <color theme="1"/>
      <name val="Calibri"/>
      <family val="2"/>
      <scheme val="minor"/>
    </font>
    <font>
      <sz val="16"/>
      <color theme="1"/>
      <name val="Calibri"/>
      <family val="2"/>
      <scheme val="minor"/>
    </font>
    <font>
      <sz val="12"/>
      <color theme="1"/>
      <name val="Calibri"/>
      <family val="2"/>
      <scheme val="minor"/>
    </font>
  </fonts>
  <fills count="16">
    <fill>
      <patternFill patternType="none"/>
    </fill>
    <fill>
      <patternFill patternType="gray125"/>
    </fill>
    <fill>
      <patternFill patternType="solid">
        <fgColor rgb="FF002060"/>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499984740745262"/>
        <bgColor indexed="64"/>
      </patternFill>
    </fill>
  </fills>
  <borders count="63">
    <border>
      <left/>
      <right/>
      <top/>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bottom style="thin">
        <color theme="0" tint="-0.34998626667073579"/>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1" tint="0.34998626667073579"/>
      </left>
      <right/>
      <top/>
      <bottom/>
      <diagonal/>
    </border>
    <border>
      <left style="thin">
        <color theme="1" tint="0.34998626667073579"/>
      </left>
      <right/>
      <top/>
      <bottom style="thin">
        <color theme="0"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0" tint="-0.34998626667073579"/>
      </right>
      <top style="thin">
        <color theme="1" tint="0.34998626667073579"/>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bottom style="thin">
        <color theme="0" tint="-0.499984740745262"/>
      </bottom>
      <diagonal/>
    </border>
    <border>
      <left style="thin">
        <color theme="1" tint="0.499984740745262"/>
      </left>
      <right/>
      <top style="thin">
        <color theme="0" tint="-0.499984740745262"/>
      </top>
      <bottom/>
      <diagonal/>
    </border>
    <border>
      <left/>
      <right/>
      <top/>
      <bottom style="thin">
        <color theme="1" tint="0.34998626667073579"/>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medium">
        <color theme="1" tint="0.34998626667073579"/>
      </left>
      <right style="medium">
        <color theme="1" tint="0.34998626667073579"/>
      </right>
      <top style="medium">
        <color theme="1" tint="0.34998626667073579"/>
      </top>
      <bottom/>
      <diagonal/>
    </border>
    <border>
      <left style="medium">
        <color theme="1" tint="0.34998626667073579"/>
      </left>
      <right style="medium">
        <color theme="1" tint="0.34998626667073579"/>
      </right>
      <top/>
      <bottom style="medium">
        <color theme="1" tint="0.34998626667073579"/>
      </bottom>
      <diagonal/>
    </border>
    <border>
      <left/>
      <right style="thin">
        <color theme="1" tint="0.34998626667073579"/>
      </right>
      <top/>
      <bottom/>
      <diagonal/>
    </border>
    <border>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bottom style="medium">
        <color theme="1" tint="0.499984740745262"/>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style="medium">
        <color theme="1" tint="0.499984740745262"/>
      </bottom>
      <diagonal/>
    </border>
    <border>
      <left/>
      <right style="medium">
        <color theme="1" tint="0.499984740745262"/>
      </right>
      <top/>
      <bottom style="medium">
        <color theme="1" tint="0.499984740745262"/>
      </bottom>
      <diagonal/>
    </border>
    <border>
      <left/>
      <right style="thin">
        <color theme="1" tint="0.499984740745262"/>
      </right>
      <top/>
      <bottom style="double">
        <color theme="1" tint="0.499984740745262"/>
      </bottom>
      <diagonal/>
    </border>
    <border>
      <left style="thin">
        <color theme="1" tint="0.499984740745262"/>
      </left>
      <right/>
      <top/>
      <bottom style="double">
        <color theme="1" tint="0.499984740745262"/>
      </bottom>
      <diagonal/>
    </border>
    <border>
      <left/>
      <right/>
      <top/>
      <bottom style="double">
        <color theme="1" tint="0.499984740745262"/>
      </bottom>
      <diagonal/>
    </border>
    <border>
      <left style="thin">
        <color theme="1" tint="0.34998626667073579"/>
      </left>
      <right style="thin">
        <color theme="1" tint="0.34998626667073579"/>
      </right>
      <top/>
      <bottom/>
      <diagonal/>
    </border>
    <border>
      <left style="thin">
        <color theme="1" tint="0.499984740745262"/>
      </left>
      <right/>
      <top style="thin">
        <color theme="0" tint="-0.499984740745262"/>
      </top>
      <bottom style="double">
        <color theme="1" tint="0.499984740745262"/>
      </bottom>
      <diagonal/>
    </border>
    <border>
      <left style="thin">
        <color theme="1" tint="0.499984740745262"/>
      </left>
      <right style="thin">
        <color theme="1" tint="0.499984740745262"/>
      </right>
      <top/>
      <bottom style="double">
        <color theme="1" tint="0.499984740745262"/>
      </bottom>
      <diagonal/>
    </border>
    <border>
      <left/>
      <right/>
      <top style="double">
        <color theme="1" tint="0.499984740745262"/>
      </top>
      <bottom/>
      <diagonal/>
    </border>
    <border>
      <left style="thin">
        <color theme="1" tint="0.499984740745262"/>
      </left>
      <right/>
      <top style="double">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0" tint="-0.34998626667073579"/>
      </top>
      <bottom/>
      <diagonal/>
    </border>
    <border>
      <left style="thin">
        <color theme="0" tint="-0.34998626667073579"/>
      </left>
      <right/>
      <top style="thin">
        <color theme="0" tint="-0.34998626667073579"/>
      </top>
      <bottom style="thin">
        <color theme="1" tint="0.499984740745262"/>
      </bottom>
      <diagonal/>
    </border>
    <border>
      <left/>
      <right/>
      <top style="thin">
        <color theme="0" tint="-0.34998626667073579"/>
      </top>
      <bottom style="thin">
        <color theme="1" tint="0.499984740745262"/>
      </bottom>
      <diagonal/>
    </border>
    <border>
      <left/>
      <right style="thin">
        <color theme="1" tint="0.499984740745262"/>
      </right>
      <top style="thin">
        <color theme="0" tint="-0.34998626667073579"/>
      </top>
      <bottom style="thin">
        <color theme="1" tint="0.499984740745262"/>
      </bottom>
      <diagonal/>
    </border>
    <border>
      <left style="thin">
        <color theme="0" tint="-0.14999847407452621"/>
      </left>
      <right/>
      <top style="thin">
        <color theme="0" tint="-0.14999847407452621"/>
      </top>
      <bottom/>
      <diagonal/>
    </border>
    <border>
      <left/>
      <right/>
      <top style="thin">
        <color theme="0" tint="-0.499984740745262"/>
      </top>
      <bottom/>
      <diagonal/>
    </border>
    <border>
      <left/>
      <right style="thin">
        <color theme="1"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1" tint="0.499984740745262"/>
      </bottom>
      <diagonal/>
    </border>
  </borders>
  <cellStyleXfs count="2">
    <xf numFmtId="0" fontId="0" fillId="0" borderId="0"/>
    <xf numFmtId="9" fontId="15" fillId="0" borderId="0" applyFont="0" applyFill="0" applyBorder="0" applyAlignment="0" applyProtection="0"/>
  </cellStyleXfs>
  <cellXfs count="259">
    <xf numFmtId="0" fontId="0" fillId="0" borderId="0" xfId="0"/>
    <xf numFmtId="0" fontId="0" fillId="0" borderId="0" xfId="0" applyAlignment="1">
      <alignment horizontal="right" vertical="center"/>
    </xf>
    <xf numFmtId="0" fontId="0" fillId="0" borderId="0" xfId="0" applyAlignment="1">
      <alignment horizontal="left" vertical="center"/>
    </xf>
    <xf numFmtId="0" fontId="3" fillId="0" borderId="0" xfId="0" applyFont="1"/>
    <xf numFmtId="0" fontId="3" fillId="3" borderId="2" xfId="0" applyFont="1" applyFill="1" applyBorder="1" applyAlignment="1">
      <alignment horizontal="center"/>
    </xf>
    <xf numFmtId="14" fontId="3" fillId="3" borderId="2" xfId="0" applyNumberFormat="1" applyFont="1" applyFill="1" applyBorder="1" applyAlignment="1">
      <alignment horizontal="center"/>
    </xf>
    <xf numFmtId="0" fontId="1" fillId="4" borderId="0" xfId="0" applyFont="1" applyFill="1" applyAlignment="1">
      <alignment horizontal="center"/>
    </xf>
    <xf numFmtId="0" fontId="0" fillId="6" borderId="0" xfId="0" applyFill="1"/>
    <xf numFmtId="0" fontId="3" fillId="0" borderId="0" xfId="0" applyFont="1" applyAlignment="1">
      <alignment horizontal="center" vertical="center"/>
    </xf>
    <xf numFmtId="0" fontId="3" fillId="0" borderId="0" xfId="0" applyFont="1" applyAlignment="1">
      <alignment vertical="center"/>
    </xf>
    <xf numFmtId="0" fontId="0" fillId="0" borderId="0" xfId="0" applyAlignment="1">
      <alignment vertical="top" wrapText="1"/>
    </xf>
    <xf numFmtId="0" fontId="5" fillId="0" borderId="0" xfId="0" applyFont="1"/>
    <xf numFmtId="0" fontId="0" fillId="0" borderId="0" xfId="0" quotePrefix="1"/>
    <xf numFmtId="0" fontId="3" fillId="8" borderId="0" xfId="0" applyFont="1" applyFill="1" applyAlignment="1">
      <alignment horizontal="center" vertical="center"/>
    </xf>
    <xf numFmtId="0" fontId="0" fillId="8" borderId="16" xfId="0" applyFill="1" applyBorder="1" applyAlignment="1">
      <alignment horizontal="center" vertical="center"/>
    </xf>
    <xf numFmtId="0" fontId="3" fillId="9" borderId="17" xfId="0" applyFont="1" applyFill="1" applyBorder="1" applyAlignment="1">
      <alignment horizontal="center" vertical="center"/>
    </xf>
    <xf numFmtId="0" fontId="3" fillId="10" borderId="17" xfId="0" applyFont="1" applyFill="1" applyBorder="1" applyAlignment="1">
      <alignment horizontal="center" vertical="center"/>
    </xf>
    <xf numFmtId="0" fontId="0" fillId="2" borderId="0" xfId="0" applyFill="1"/>
    <xf numFmtId="0" fontId="7" fillId="4" borderId="0" xfId="0" applyFont="1" applyFill="1" applyAlignment="1">
      <alignment horizontal="center" vertical="center"/>
    </xf>
    <xf numFmtId="0" fontId="3" fillId="0" borderId="0" xfId="0" applyFont="1" applyAlignment="1">
      <alignment vertical="top" wrapText="1"/>
    </xf>
    <xf numFmtId="0" fontId="0" fillId="0" borderId="0" xfId="0" applyAlignment="1">
      <alignment vertical="center"/>
    </xf>
    <xf numFmtId="0" fontId="0" fillId="0" borderId="0" xfId="0" applyAlignment="1">
      <alignment horizontal="right"/>
    </xf>
    <xf numFmtId="0" fontId="0" fillId="0" borderId="0" xfId="0" applyAlignment="1">
      <alignment horizontal="center"/>
    </xf>
    <xf numFmtId="0" fontId="7" fillId="4" borderId="0" xfId="0" applyFont="1" applyFill="1" applyAlignment="1">
      <alignment horizontal="center"/>
    </xf>
    <xf numFmtId="0" fontId="3" fillId="6" borderId="0" xfId="0" applyFont="1" applyFill="1"/>
    <xf numFmtId="0" fontId="0" fillId="0" borderId="0" xfId="0" applyAlignment="1">
      <alignment vertical="center" wrapText="1"/>
    </xf>
    <xf numFmtId="14" fontId="3" fillId="0" borderId="0" xfId="0" applyNumberFormat="1" applyFont="1" applyAlignment="1">
      <alignment horizontal="center"/>
    </xf>
    <xf numFmtId="0" fontId="3" fillId="0" borderId="0" xfId="0" applyFont="1" applyAlignment="1">
      <alignment horizontal="center"/>
    </xf>
    <xf numFmtId="0" fontId="1" fillId="0" borderId="0" xfId="0" applyFont="1" applyAlignment="1">
      <alignment horizontal="center"/>
    </xf>
    <xf numFmtId="0" fontId="4" fillId="0" borderId="0" xfId="0" applyFont="1" applyAlignment="1">
      <alignment vertical="top" wrapText="1"/>
    </xf>
    <xf numFmtId="0" fontId="3" fillId="8" borderId="18" xfId="0" applyFont="1" applyFill="1" applyBorder="1" applyAlignment="1">
      <alignment horizontal="center" vertical="center"/>
    </xf>
    <xf numFmtId="0" fontId="7" fillId="12" borderId="0" xfId="0" applyFont="1" applyFill="1" applyAlignment="1">
      <alignment horizontal="center" vertical="center"/>
    </xf>
    <xf numFmtId="0" fontId="2" fillId="2" borderId="0" xfId="0" applyFont="1" applyFill="1" applyAlignment="1">
      <alignment vertical="center"/>
    </xf>
    <xf numFmtId="0" fontId="2" fillId="2" borderId="0" xfId="0" applyFont="1" applyFill="1" applyAlignment="1">
      <alignment vertical="center" wrapText="1"/>
    </xf>
    <xf numFmtId="0" fontId="13" fillId="0" borderId="0" xfId="0" applyFont="1"/>
    <xf numFmtId="0" fontId="11" fillId="0" borderId="0" xfId="0" applyFont="1" applyAlignment="1">
      <alignment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1"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6" xfId="0" applyBorder="1" applyAlignment="1">
      <alignment horizontal="center" vertical="center"/>
    </xf>
    <xf numFmtId="0" fontId="8" fillId="11" borderId="36" xfId="0" applyFont="1" applyFill="1" applyBorder="1" applyAlignment="1">
      <alignment horizontal="center" vertical="center"/>
    </xf>
    <xf numFmtId="0" fontId="8" fillId="11" borderId="37" xfId="0" applyFont="1" applyFill="1" applyBorder="1" applyAlignment="1">
      <alignment horizontal="center" vertical="center"/>
    </xf>
    <xf numFmtId="0" fontId="0" fillId="13" borderId="37" xfId="0" applyFill="1" applyBorder="1" applyAlignment="1">
      <alignment horizontal="center"/>
    </xf>
    <xf numFmtId="0" fontId="3" fillId="0" borderId="37" xfId="0" applyFont="1" applyBorder="1" applyAlignment="1">
      <alignment horizontal="center" vertical="center"/>
    </xf>
    <xf numFmtId="0" fontId="3" fillId="0" borderId="37" xfId="0" applyFont="1" applyBorder="1" applyAlignment="1">
      <alignment horizontal="center" vertical="center" wrapText="1"/>
    </xf>
    <xf numFmtId="0" fontId="0" fillId="0" borderId="37" xfId="0" applyBorder="1" applyAlignment="1">
      <alignment horizontal="center"/>
    </xf>
    <xf numFmtId="0" fontId="0" fillId="11" borderId="0" xfId="0" applyFill="1"/>
    <xf numFmtId="0" fontId="0" fillId="0" borderId="0" xfId="0" applyAlignment="1">
      <alignment wrapText="1"/>
    </xf>
    <xf numFmtId="0" fontId="0" fillId="3" borderId="2" xfId="0" applyFill="1" applyBorder="1" applyAlignment="1">
      <alignment horizontal="center" vertical="center"/>
    </xf>
    <xf numFmtId="0" fontId="9" fillId="0" borderId="0" xfId="0" applyFont="1" applyAlignment="1">
      <alignment vertical="center"/>
    </xf>
    <xf numFmtId="0" fontId="7" fillId="2" borderId="44" xfId="0" applyFont="1" applyFill="1" applyBorder="1"/>
    <xf numFmtId="0" fontId="7" fillId="2" borderId="46" xfId="0" applyFont="1" applyFill="1" applyBorder="1" applyAlignment="1">
      <alignment horizontal="center" vertical="center"/>
    </xf>
    <xf numFmtId="0" fontId="7" fillId="2" borderId="46" xfId="0" applyFont="1" applyFill="1" applyBorder="1"/>
    <xf numFmtId="0" fontId="8" fillId="11" borderId="47" xfId="0" applyFont="1" applyFill="1" applyBorder="1" applyAlignment="1">
      <alignment horizontal="center" vertical="center"/>
    </xf>
    <xf numFmtId="0" fontId="3" fillId="8" borderId="46" xfId="0" applyFont="1" applyFill="1" applyBorder="1" applyAlignment="1">
      <alignment horizontal="center" vertical="center"/>
    </xf>
    <xf numFmtId="0" fontId="0" fillId="8" borderId="48" xfId="0" applyFill="1" applyBorder="1" applyAlignment="1">
      <alignment horizontal="center" vertical="center"/>
    </xf>
    <xf numFmtId="0" fontId="0" fillId="8" borderId="49" xfId="0" applyFill="1" applyBorder="1"/>
    <xf numFmtId="0" fontId="3" fillId="8" borderId="48" xfId="0" applyFont="1" applyFill="1" applyBorder="1" applyAlignment="1">
      <alignment horizontal="center" vertical="center"/>
    </xf>
    <xf numFmtId="0" fontId="3" fillId="9" borderId="0" xfId="0" applyFont="1" applyFill="1" applyAlignment="1">
      <alignment horizontal="center" vertical="center"/>
    </xf>
    <xf numFmtId="0" fontId="3" fillId="10" borderId="0" xfId="0" applyFont="1" applyFill="1" applyAlignment="1">
      <alignment horizontal="center" vertical="center"/>
    </xf>
    <xf numFmtId="0" fontId="3" fillId="8" borderId="50" xfId="0" applyFont="1" applyFill="1" applyBorder="1" applyAlignment="1">
      <alignment horizontal="center" vertical="center"/>
    </xf>
    <xf numFmtId="0" fontId="0" fillId="8" borderId="51" xfId="0" applyFill="1" applyBorder="1" applyAlignment="1">
      <alignment horizontal="center" vertical="center"/>
    </xf>
    <xf numFmtId="0" fontId="0" fillId="8" borderId="51" xfId="0" applyFill="1" applyBorder="1"/>
    <xf numFmtId="0" fontId="3" fillId="8" borderId="51" xfId="0" applyFont="1" applyFill="1" applyBorder="1" applyAlignment="1">
      <alignment horizontal="center" vertical="center"/>
    </xf>
    <xf numFmtId="0" fontId="0" fillId="13" borderId="35" xfId="0" applyFill="1" applyBorder="1" applyAlignment="1">
      <alignment horizontal="center"/>
    </xf>
    <xf numFmtId="0" fontId="0" fillId="11" borderId="52" xfId="0" applyFill="1" applyBorder="1" applyAlignment="1">
      <alignment horizontal="center" vertical="center"/>
    </xf>
    <xf numFmtId="0" fontId="1" fillId="4" borderId="37" xfId="0" applyFont="1" applyFill="1" applyBorder="1" applyAlignment="1">
      <alignment horizontal="center"/>
    </xf>
    <xf numFmtId="9" fontId="0" fillId="0" borderId="0" xfId="1" applyFont="1"/>
    <xf numFmtId="0" fontId="16" fillId="0" borderId="0" xfId="0" applyFont="1"/>
    <xf numFmtId="0" fontId="0" fillId="0" borderId="18" xfId="0" applyBorder="1"/>
    <xf numFmtId="0" fontId="3" fillId="13" borderId="0" xfId="0" applyFont="1" applyFill="1" applyAlignment="1">
      <alignment horizontal="center" vertical="center"/>
    </xf>
    <xf numFmtId="0" fontId="0" fillId="0" borderId="57" xfId="0" applyBorder="1"/>
    <xf numFmtId="0" fontId="0" fillId="0" borderId="0" xfId="0" applyAlignment="1">
      <alignment horizontal="center" vertical="center"/>
    </xf>
    <xf numFmtId="0" fontId="10" fillId="3" borderId="2"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0" borderId="0" xfId="0" applyFont="1" applyAlignment="1">
      <alignment horizontal="center" vertical="center"/>
    </xf>
    <xf numFmtId="0" fontId="3" fillId="0" borderId="19" xfId="0" applyFont="1" applyBorder="1" applyAlignment="1">
      <alignment horizontal="center" vertical="center"/>
    </xf>
    <xf numFmtId="0" fontId="11" fillId="0" borderId="0" xfId="0" applyFont="1"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19"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9" fillId="0" borderId="0" xfId="0" applyFont="1" applyAlignment="1">
      <alignment horizontal="center" vertical="center" wrapText="1"/>
    </xf>
    <xf numFmtId="0" fontId="0" fillId="0" borderId="0" xfId="0" applyAlignment="1">
      <alignment horizontal="center" vertical="center" wrapText="1"/>
    </xf>
    <xf numFmtId="14" fontId="2" fillId="2" borderId="0" xfId="0" applyNumberFormat="1" applyFont="1" applyFill="1" applyAlignment="1">
      <alignment horizontal="center"/>
    </xf>
    <xf numFmtId="0" fontId="2" fillId="2" borderId="0" xfId="0" applyFont="1" applyFill="1" applyAlignment="1">
      <alignment horizontal="center"/>
    </xf>
    <xf numFmtId="18" fontId="2" fillId="2" borderId="0" xfId="0" applyNumberFormat="1" applyFont="1" applyFill="1" applyAlignment="1">
      <alignment horizontal="center"/>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0" fontId="17" fillId="0" borderId="53" xfId="0" applyFont="1" applyBorder="1" applyAlignment="1">
      <alignment vertical="top"/>
    </xf>
    <xf numFmtId="0" fontId="4" fillId="5" borderId="8" xfId="0" applyFont="1" applyFill="1" applyBorder="1" applyAlignment="1">
      <alignment horizontal="left" vertical="top" wrapText="1"/>
    </xf>
    <xf numFmtId="0" fontId="4" fillId="5" borderId="9" xfId="0" applyFont="1" applyFill="1" applyBorder="1" applyAlignment="1">
      <alignment horizontal="left" vertical="top" wrapText="1"/>
    </xf>
    <xf numFmtId="0" fontId="4" fillId="5" borderId="10" xfId="0" applyFont="1" applyFill="1" applyBorder="1" applyAlignment="1">
      <alignment horizontal="left" vertical="top" wrapText="1"/>
    </xf>
    <xf numFmtId="0" fontId="4" fillId="5" borderId="6" xfId="0" applyFont="1" applyFill="1" applyBorder="1" applyAlignment="1">
      <alignment horizontal="left" vertical="top" wrapText="1"/>
    </xf>
    <xf numFmtId="0" fontId="4" fillId="5" borderId="0" xfId="0" applyFont="1" applyFill="1" applyAlignment="1">
      <alignment horizontal="left" vertical="top" wrapText="1"/>
    </xf>
    <xf numFmtId="0" fontId="4" fillId="5" borderId="4" xfId="0" applyFont="1" applyFill="1" applyBorder="1" applyAlignment="1">
      <alignment horizontal="left" vertical="top" wrapText="1"/>
    </xf>
    <xf numFmtId="0" fontId="4" fillId="5" borderId="7"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5" borderId="5" xfId="0" applyFont="1" applyFill="1" applyBorder="1" applyAlignment="1">
      <alignment horizontal="left" vertical="top" wrapText="1"/>
    </xf>
    <xf numFmtId="0" fontId="0" fillId="0" borderId="0" xfId="0" applyAlignment="1">
      <alignment horizontal="right"/>
    </xf>
    <xf numFmtId="0" fontId="3" fillId="3" borderId="2" xfId="0" applyFont="1" applyFill="1" applyBorder="1" applyAlignment="1">
      <alignment horizontal="left"/>
    </xf>
    <xf numFmtId="0" fontId="3" fillId="3" borderId="1" xfId="0" applyFont="1" applyFill="1" applyBorder="1" applyAlignment="1">
      <alignment horizontal="left"/>
    </xf>
    <xf numFmtId="0" fontId="3" fillId="6" borderId="17" xfId="0" applyFont="1" applyFill="1" applyBorder="1" applyAlignment="1">
      <alignment horizontal="center" vertical="center"/>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Alignment="1">
      <alignment horizontal="center" vertical="center" wrapText="1"/>
    </xf>
    <xf numFmtId="0" fontId="4" fillId="0" borderId="19"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1" xfId="0" applyFont="1" applyBorder="1" applyAlignment="1">
      <alignment horizontal="center" vertical="center" wrapText="1"/>
    </xf>
    <xf numFmtId="0" fontId="9" fillId="0" borderId="0" xfId="0" applyFont="1" applyAlignment="1">
      <alignment horizontal="center" vertical="center"/>
    </xf>
    <xf numFmtId="0" fontId="0" fillId="5" borderId="26" xfId="0" applyFill="1" applyBorder="1" applyAlignment="1">
      <alignment horizontal="center" vertical="center" wrapText="1"/>
    </xf>
    <xf numFmtId="0" fontId="0" fillId="5" borderId="27" xfId="0" applyFill="1" applyBorder="1" applyAlignment="1">
      <alignment horizontal="center" vertical="center" wrapText="1"/>
    </xf>
    <xf numFmtId="0" fontId="0" fillId="5" borderId="28" xfId="0" applyFill="1" applyBorder="1" applyAlignment="1">
      <alignment horizontal="center" vertical="center" wrapText="1"/>
    </xf>
    <xf numFmtId="0" fontId="0" fillId="5" borderId="18" xfId="0" applyFill="1" applyBorder="1" applyAlignment="1">
      <alignment horizontal="center" vertical="center" wrapText="1"/>
    </xf>
    <xf numFmtId="0" fontId="0" fillId="5" borderId="0" xfId="0" applyFill="1" applyAlignment="1">
      <alignment horizontal="center" vertical="center" wrapText="1"/>
    </xf>
    <xf numFmtId="0" fontId="0" fillId="5" borderId="19" xfId="0" applyFill="1" applyBorder="1" applyAlignment="1">
      <alignment horizontal="center" vertical="center" wrapText="1"/>
    </xf>
    <xf numFmtId="0" fontId="0" fillId="5" borderId="2"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1" xfId="0" applyFill="1" applyBorder="1" applyAlignment="1">
      <alignment horizontal="center" vertical="center" wrapText="1"/>
    </xf>
    <xf numFmtId="0" fontId="9" fillId="11" borderId="0" xfId="0" applyFont="1" applyFill="1" applyAlignment="1">
      <alignment horizontal="center" vertical="center"/>
    </xf>
    <xf numFmtId="0" fontId="9" fillId="6" borderId="54" xfId="0" applyFont="1" applyFill="1" applyBorder="1" applyAlignment="1">
      <alignment horizontal="center"/>
    </xf>
    <xf numFmtId="0" fontId="9" fillId="6" borderId="55" xfId="0" applyFont="1" applyFill="1" applyBorder="1" applyAlignment="1">
      <alignment horizontal="center"/>
    </xf>
    <xf numFmtId="0" fontId="9" fillId="6" borderId="56" xfId="0" applyFont="1" applyFill="1" applyBorder="1" applyAlignment="1">
      <alignment horizontal="center"/>
    </xf>
    <xf numFmtId="0" fontId="9" fillId="0" borderId="0" xfId="0" applyFont="1" applyAlignment="1">
      <alignment horizontal="left" vertical="center"/>
    </xf>
    <xf numFmtId="0" fontId="9" fillId="8" borderId="54" xfId="0" applyFont="1" applyFill="1" applyBorder="1" applyAlignment="1">
      <alignment horizontal="center" vertical="center"/>
    </xf>
    <xf numFmtId="0" fontId="9" fillId="8" borderId="55" xfId="0" applyFont="1" applyFill="1" applyBorder="1" applyAlignment="1">
      <alignment horizontal="center" vertical="center"/>
    </xf>
    <xf numFmtId="0" fontId="9" fillId="8" borderId="56"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20" xfId="0" applyFont="1" applyFill="1" applyBorder="1" applyAlignment="1">
      <alignment horizontal="center" vertical="center"/>
    </xf>
    <xf numFmtId="0" fontId="4" fillId="6" borderId="60" xfId="0" applyFont="1" applyFill="1" applyBorder="1" applyAlignment="1">
      <alignment horizontal="center" vertical="center" wrapText="1"/>
    </xf>
    <xf numFmtId="0" fontId="4" fillId="6" borderId="58" xfId="0" applyFont="1" applyFill="1" applyBorder="1" applyAlignment="1">
      <alignment horizontal="center" vertical="center" wrapText="1"/>
    </xf>
    <xf numFmtId="0" fontId="4" fillId="6" borderId="59"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19" xfId="0" applyFont="1" applyFill="1" applyBorder="1" applyAlignment="1">
      <alignment horizontal="center" vertical="center" wrapText="1"/>
    </xf>
    <xf numFmtId="0" fontId="4" fillId="6" borderId="62"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0" fillId="0" borderId="0" xfId="0" applyAlignment="1">
      <alignment horizontal="right" vertical="center"/>
    </xf>
    <xf numFmtId="0" fontId="3" fillId="11" borderId="0" xfId="0" applyFont="1" applyFill="1" applyAlignment="1">
      <alignment horizontal="center" vertical="center"/>
    </xf>
    <xf numFmtId="0" fontId="0" fillId="0" borderId="0" xfId="0" applyAlignment="1">
      <alignment horizontal="left" vertic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25" xfId="0" applyFill="1" applyBorder="1" applyAlignment="1">
      <alignment horizontal="center"/>
    </xf>
    <xf numFmtId="0" fontId="11" fillId="11" borderId="29" xfId="0" applyFont="1" applyFill="1" applyBorder="1" applyAlignment="1">
      <alignment horizontal="center" vertical="center"/>
    </xf>
    <xf numFmtId="0" fontId="11" fillId="11" borderId="30" xfId="0" applyFont="1" applyFill="1" applyBorder="1" applyAlignment="1">
      <alignment horizontal="center" vertical="center"/>
    </xf>
    <xf numFmtId="0" fontId="4" fillId="0" borderId="0" xfId="0" applyFont="1" applyAlignment="1">
      <alignment horizontal="left" vertical="top" wrapText="1"/>
    </xf>
    <xf numFmtId="0" fontId="3" fillId="0" borderId="0" xfId="0" applyFont="1" applyAlignment="1">
      <alignment horizontal="left" vertical="top" wrapText="1"/>
    </xf>
    <xf numFmtId="0" fontId="9" fillId="9" borderId="0" xfId="0" applyFont="1" applyFill="1" applyAlignment="1">
      <alignment horizontal="center" vertical="center"/>
    </xf>
    <xf numFmtId="0" fontId="18" fillId="0" borderId="0" xfId="0" applyFont="1" applyAlignment="1">
      <alignment horizontal="center" vertical="center" wrapText="1"/>
    </xf>
    <xf numFmtId="0" fontId="3" fillId="6" borderId="0" xfId="0" applyFont="1" applyFill="1" applyAlignment="1">
      <alignment horizontal="center" vertical="center" wrapText="1"/>
    </xf>
    <xf numFmtId="0" fontId="3" fillId="6" borderId="0" xfId="0" applyFont="1" applyFill="1" applyAlignment="1">
      <alignment horizontal="center" vertical="center"/>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21" xfId="0" applyBorder="1" applyAlignment="1">
      <alignment horizontal="center" vertical="center" wrapText="1"/>
    </xf>
    <xf numFmtId="0" fontId="0" fillId="9" borderId="26" xfId="0" applyFill="1" applyBorder="1" applyAlignment="1">
      <alignment horizontal="center" vertical="center"/>
    </xf>
    <xf numFmtId="0" fontId="0" fillId="9" borderId="2" xfId="0" applyFill="1" applyBorder="1" applyAlignment="1">
      <alignment horizontal="center" vertical="center"/>
    </xf>
    <xf numFmtId="0" fontId="0" fillId="13" borderId="26" xfId="0" applyFill="1" applyBorder="1" applyAlignment="1">
      <alignment horizontal="center" vertical="center"/>
    </xf>
    <xf numFmtId="0" fontId="0" fillId="13" borderId="2" xfId="0" applyFill="1" applyBorder="1" applyAlignment="1">
      <alignment horizontal="center" vertical="center"/>
    </xf>
    <xf numFmtId="0" fontId="0" fillId="6" borderId="26" xfId="0" applyFill="1" applyBorder="1" applyAlignment="1">
      <alignment horizontal="center" vertical="center" wrapText="1"/>
    </xf>
    <xf numFmtId="0" fontId="0" fillId="6" borderId="27" xfId="0" applyFill="1" applyBorder="1" applyAlignment="1">
      <alignment horizontal="center" vertical="center" wrapText="1"/>
    </xf>
    <xf numFmtId="0" fontId="0" fillId="6" borderId="28" xfId="0" applyFill="1" applyBorder="1" applyAlignment="1">
      <alignment horizontal="center" vertical="center" wrapText="1"/>
    </xf>
    <xf numFmtId="0" fontId="0" fillId="6" borderId="2" xfId="0" applyFill="1" applyBorder="1" applyAlignment="1">
      <alignment horizontal="center" vertical="center" wrapText="1"/>
    </xf>
    <xf numFmtId="0" fontId="0" fillId="6" borderId="1" xfId="0" applyFill="1" applyBorder="1" applyAlignment="1">
      <alignment horizontal="center" vertical="center" wrapText="1"/>
    </xf>
    <xf numFmtId="0" fontId="0" fillId="6" borderId="21" xfId="0" applyFill="1" applyBorder="1" applyAlignment="1">
      <alignment horizontal="center" vertical="center" wrapText="1"/>
    </xf>
    <xf numFmtId="0" fontId="0" fillId="3" borderId="26" xfId="0" applyFill="1" applyBorder="1" applyAlignment="1">
      <alignment horizontal="center" vertical="center"/>
    </xf>
    <xf numFmtId="0" fontId="0" fillId="3" borderId="2" xfId="0" applyFill="1" applyBorder="1" applyAlignment="1">
      <alignment horizontal="center" vertical="center"/>
    </xf>
    <xf numFmtId="0" fontId="0" fillId="11" borderId="26" xfId="0" applyFill="1" applyBorder="1" applyAlignment="1">
      <alignment horizontal="center" vertical="center"/>
    </xf>
    <xf numFmtId="0" fontId="0" fillId="11" borderId="2" xfId="0" applyFill="1" applyBorder="1" applyAlignment="1">
      <alignment horizontal="center" vertical="center"/>
    </xf>
    <xf numFmtId="0" fontId="0" fillId="9" borderId="18" xfId="0" applyFill="1" applyBorder="1" applyAlignment="1">
      <alignment horizontal="center" vertical="center"/>
    </xf>
    <xf numFmtId="0" fontId="0" fillId="11" borderId="45" xfId="0" applyFill="1" applyBorder="1" applyAlignment="1">
      <alignment horizontal="center" vertical="center"/>
    </xf>
    <xf numFmtId="0" fontId="7" fillId="2" borderId="11" xfId="0" applyFont="1" applyFill="1" applyBorder="1" applyAlignment="1">
      <alignment horizontal="center" vertical="center"/>
    </xf>
    <xf numFmtId="0" fontId="14" fillId="15" borderId="11" xfId="0" applyFont="1" applyFill="1" applyBorder="1" applyAlignment="1">
      <alignment horizontal="center" vertical="center" wrapText="1"/>
    </xf>
    <xf numFmtId="0" fontId="11" fillId="0" borderId="0" xfId="0" applyFont="1" applyAlignment="1">
      <alignment horizontal="right" vertical="center"/>
    </xf>
    <xf numFmtId="0" fontId="0" fillId="13" borderId="18" xfId="0" applyFill="1" applyBorder="1" applyAlignment="1">
      <alignment horizontal="center" vertical="center"/>
    </xf>
    <xf numFmtId="0" fontId="10" fillId="13" borderId="18" xfId="0" applyFont="1" applyFill="1" applyBorder="1" applyAlignment="1">
      <alignment horizontal="center" vertical="center"/>
    </xf>
    <xf numFmtId="0" fontId="21" fillId="3" borderId="26" xfId="0" applyFont="1" applyFill="1" applyBorder="1" applyAlignment="1">
      <alignment horizontal="center" vertical="center"/>
    </xf>
    <xf numFmtId="0" fontId="21" fillId="3" borderId="2" xfId="0" applyFont="1" applyFill="1" applyBorder="1" applyAlignment="1">
      <alignment horizontal="center" vertical="center"/>
    </xf>
    <xf numFmtId="0" fontId="21" fillId="11" borderId="26" xfId="0" applyFont="1" applyFill="1" applyBorder="1" applyAlignment="1">
      <alignment horizontal="center" vertical="center"/>
    </xf>
    <xf numFmtId="0" fontId="21" fillId="11" borderId="2" xfId="0" applyFont="1" applyFill="1" applyBorder="1" applyAlignment="1">
      <alignment horizontal="center" vertical="center"/>
    </xf>
    <xf numFmtId="0" fontId="10" fillId="11" borderId="26" xfId="0" applyFont="1" applyFill="1" applyBorder="1" applyAlignment="1">
      <alignment horizontal="center" vertical="center"/>
    </xf>
    <xf numFmtId="0" fontId="10" fillId="11" borderId="45" xfId="0" applyFont="1" applyFill="1" applyBorder="1" applyAlignment="1">
      <alignment horizontal="center" vertical="center"/>
    </xf>
    <xf numFmtId="0" fontId="21" fillId="3" borderId="18" xfId="0" applyFont="1" applyFill="1" applyBorder="1" applyAlignment="1">
      <alignment horizontal="center" vertical="center"/>
    </xf>
    <xf numFmtId="0" fontId="21" fillId="13" borderId="26" xfId="0" applyFont="1" applyFill="1" applyBorder="1" applyAlignment="1">
      <alignment horizontal="center" vertical="center"/>
    </xf>
    <xf numFmtId="0" fontId="21" fillId="13" borderId="18" xfId="0" applyFont="1" applyFill="1" applyBorder="1" applyAlignment="1">
      <alignment horizontal="center" vertical="center"/>
    </xf>
    <xf numFmtId="0" fontId="10" fillId="3" borderId="18" xfId="0" applyFont="1" applyFill="1" applyBorder="1" applyAlignment="1">
      <alignment horizontal="center" vertical="center"/>
    </xf>
    <xf numFmtId="0" fontId="10" fillId="11" borderId="18" xfId="0" applyFont="1" applyFill="1" applyBorder="1" applyAlignment="1">
      <alignment horizontal="center" vertical="center"/>
    </xf>
    <xf numFmtId="0" fontId="7" fillId="2" borderId="0" xfId="0" applyFont="1" applyFill="1" applyAlignment="1">
      <alignment horizontal="center" vertical="center"/>
    </xf>
    <xf numFmtId="0" fontId="12" fillId="2" borderId="12"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7" fillId="2" borderId="13"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4" borderId="0" xfId="0" applyFont="1" applyFill="1" applyAlignment="1">
      <alignment horizontal="center" vertical="center"/>
    </xf>
    <xf numFmtId="0" fontId="0" fillId="6" borderId="18" xfId="0" applyFill="1" applyBorder="1" applyAlignment="1">
      <alignment horizontal="center" vertical="center" wrapText="1"/>
    </xf>
    <xf numFmtId="0" fontId="0" fillId="6" borderId="19" xfId="0" applyFill="1" applyBorder="1" applyAlignment="1">
      <alignment horizontal="center" vertical="center" wrapText="1"/>
    </xf>
    <xf numFmtId="0" fontId="7" fillId="2" borderId="1" xfId="0" applyFont="1" applyFill="1" applyBorder="1" applyAlignment="1">
      <alignment horizontal="center" vertical="center"/>
    </xf>
    <xf numFmtId="3" fontId="0" fillId="6" borderId="26" xfId="0" applyNumberFormat="1" applyFill="1" applyBorder="1" applyAlignment="1">
      <alignment horizontal="center" vertical="center" wrapText="1"/>
    </xf>
    <xf numFmtId="0" fontId="0" fillId="0" borderId="1" xfId="0" applyBorder="1"/>
    <xf numFmtId="0" fontId="0" fillId="0" borderId="24" xfId="0" applyBorder="1"/>
    <xf numFmtId="0" fontId="7" fillId="2" borderId="45"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46" xfId="0" applyFont="1" applyFill="1" applyBorder="1" applyAlignment="1">
      <alignment horizontal="center" vertical="center"/>
    </xf>
    <xf numFmtId="0" fontId="7" fillId="2" borderId="27" xfId="0" applyFont="1" applyFill="1" applyBorder="1" applyAlignment="1">
      <alignment horizontal="center" vertical="center"/>
    </xf>
    <xf numFmtId="0" fontId="3" fillId="14" borderId="18" xfId="0" applyFont="1" applyFill="1" applyBorder="1" applyAlignment="1">
      <alignment horizontal="center" vertical="center"/>
    </xf>
    <xf numFmtId="0" fontId="3" fillId="14" borderId="2" xfId="0" applyFont="1" applyFill="1" applyBorder="1" applyAlignment="1">
      <alignment horizontal="center" vertical="center"/>
    </xf>
    <xf numFmtId="0" fontId="3" fillId="11" borderId="27"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13" borderId="18" xfId="0" applyFont="1" applyFill="1" applyBorder="1" applyAlignment="1">
      <alignment horizontal="center" vertical="center"/>
    </xf>
    <xf numFmtId="0" fontId="3" fillId="13" borderId="19" xfId="0" applyFont="1" applyFill="1" applyBorder="1" applyAlignment="1">
      <alignment horizontal="center" vertical="center"/>
    </xf>
    <xf numFmtId="0" fontId="3" fillId="13" borderId="2" xfId="0" applyFont="1" applyFill="1" applyBorder="1" applyAlignment="1">
      <alignment horizontal="center" vertical="center"/>
    </xf>
    <xf numFmtId="0" fontId="3" fillId="13" borderId="21" xfId="0" applyFont="1" applyFill="1" applyBorder="1" applyAlignment="1">
      <alignment horizontal="center" vertical="center"/>
    </xf>
    <xf numFmtId="0" fontId="3" fillId="13" borderId="26" xfId="0" applyFont="1" applyFill="1" applyBorder="1" applyAlignment="1">
      <alignment horizontal="center" vertical="center"/>
    </xf>
    <xf numFmtId="0" fontId="3" fillId="13" borderId="28" xfId="0" applyFont="1" applyFill="1" applyBorder="1" applyAlignment="1">
      <alignment horizontal="center" vertical="center"/>
    </xf>
    <xf numFmtId="0" fontId="3" fillId="11" borderId="0" xfId="0" applyFont="1" applyFill="1" applyAlignment="1">
      <alignment horizontal="center" vertical="center" wrapText="1"/>
    </xf>
    <xf numFmtId="0" fontId="3" fillId="14" borderId="19" xfId="0" applyFont="1" applyFill="1" applyBorder="1" applyAlignment="1">
      <alignment horizontal="center" vertical="center"/>
    </xf>
    <xf numFmtId="0" fontId="3" fillId="14" borderId="21" xfId="0" applyFont="1" applyFill="1" applyBorder="1" applyAlignment="1">
      <alignment horizontal="center" vertical="center"/>
    </xf>
    <xf numFmtId="0" fontId="3" fillId="14" borderId="26" xfId="0" applyFont="1" applyFill="1" applyBorder="1" applyAlignment="1">
      <alignment horizontal="center" vertical="center"/>
    </xf>
    <xf numFmtId="0" fontId="3" fillId="14" borderId="28" xfId="0" applyFont="1" applyFill="1" applyBorder="1" applyAlignment="1">
      <alignment horizontal="center" vertical="center"/>
    </xf>
    <xf numFmtId="0" fontId="20" fillId="0" borderId="0" xfId="0" applyFont="1" applyAlignment="1">
      <alignment horizontal="center" vertical="center"/>
    </xf>
    <xf numFmtId="0" fontId="0" fillId="0" borderId="0" xfId="0" quotePrefix="1" applyAlignment="1">
      <alignment horizontal="center" vertical="center"/>
    </xf>
    <xf numFmtId="0" fontId="9" fillId="3" borderId="0" xfId="0" applyFont="1" applyFill="1" applyAlignment="1">
      <alignment horizontal="center" vertical="center"/>
    </xf>
    <xf numFmtId="0" fontId="14" fillId="7" borderId="11" xfId="0" applyFont="1" applyFill="1" applyBorder="1" applyAlignment="1">
      <alignment horizontal="center" vertical="center" wrapText="1"/>
    </xf>
    <xf numFmtId="0" fontId="7" fillId="7" borderId="11" xfId="0" applyFont="1" applyFill="1" applyBorder="1" applyAlignment="1">
      <alignment horizontal="center" vertical="center"/>
    </xf>
    <xf numFmtId="0" fontId="2" fillId="7" borderId="0" xfId="0" applyFont="1" applyFill="1" applyAlignment="1">
      <alignment horizontal="center" vertical="center"/>
    </xf>
    <xf numFmtId="0" fontId="2" fillId="7" borderId="0" xfId="0" applyFont="1" applyFill="1" applyAlignment="1">
      <alignment horizontal="center" vertical="center" wrapText="1"/>
    </xf>
    <xf numFmtId="14" fontId="2" fillId="7" borderId="0" xfId="0" applyNumberFormat="1" applyFont="1" applyFill="1" applyAlignment="1">
      <alignment horizontal="center"/>
    </xf>
    <xf numFmtId="0" fontId="2" fillId="7" borderId="0" xfId="0" applyFont="1" applyFill="1" applyAlignment="1">
      <alignment horizontal="center"/>
    </xf>
    <xf numFmtId="18" fontId="2" fillId="7" borderId="0" xfId="0" applyNumberFormat="1" applyFont="1" applyFill="1" applyAlignment="1">
      <alignment horizontal="center"/>
    </xf>
    <xf numFmtId="0" fontId="7" fillId="7" borderId="0" xfId="0" applyFont="1" applyFill="1" applyAlignment="1">
      <alignment horizontal="center" vertical="center" wrapText="1"/>
    </xf>
    <xf numFmtId="0" fontId="9" fillId="11" borderId="38" xfId="0" applyFont="1" applyFill="1" applyBorder="1" applyAlignment="1">
      <alignment horizontal="center" vertical="center"/>
    </xf>
    <xf numFmtId="0" fontId="9" fillId="11" borderId="39" xfId="0" applyFont="1" applyFill="1" applyBorder="1" applyAlignment="1">
      <alignment horizontal="center" vertical="center"/>
    </xf>
    <xf numFmtId="22" fontId="2" fillId="7" borderId="0" xfId="0" applyNumberFormat="1" applyFont="1" applyFill="1" applyAlignment="1">
      <alignment horizontal="center"/>
    </xf>
    <xf numFmtId="0" fontId="0" fillId="13" borderId="0" xfId="0" applyFill="1" applyAlignment="1">
      <alignment horizontal="center" vertical="center"/>
    </xf>
    <xf numFmtId="0" fontId="9" fillId="11" borderId="40" xfId="0" applyFont="1" applyFill="1" applyBorder="1" applyAlignment="1">
      <alignment horizontal="center" vertical="center" wrapText="1"/>
    </xf>
    <xf numFmtId="0" fontId="9" fillId="11" borderId="41" xfId="0" applyFont="1" applyFill="1" applyBorder="1" applyAlignment="1">
      <alignment horizontal="center" vertical="center" wrapText="1"/>
    </xf>
    <xf numFmtId="0" fontId="9" fillId="11" borderId="42" xfId="0" applyFont="1" applyFill="1" applyBorder="1" applyAlignment="1">
      <alignment horizontal="center" vertical="center" wrapText="1"/>
    </xf>
    <xf numFmtId="0" fontId="9" fillId="11" borderId="43" xfId="0" applyFont="1" applyFill="1" applyBorder="1" applyAlignment="1">
      <alignment horizontal="center" vertical="center" wrapText="1"/>
    </xf>
    <xf numFmtId="0" fontId="0" fillId="3" borderId="18" xfId="0" applyFill="1" applyBorder="1" applyAlignment="1">
      <alignment horizontal="center"/>
    </xf>
    <xf numFmtId="0" fontId="0" fillId="3" borderId="0" xfId="0" applyFill="1" applyAlignment="1">
      <alignment horizontal="center"/>
    </xf>
    <xf numFmtId="14" fontId="10" fillId="11" borderId="40" xfId="0" applyNumberFormat="1" applyFont="1" applyFill="1" applyBorder="1" applyAlignment="1">
      <alignment horizontal="center" vertical="center"/>
    </xf>
    <xf numFmtId="0" fontId="10" fillId="11" borderId="41" xfId="0" applyFont="1" applyFill="1" applyBorder="1" applyAlignment="1">
      <alignment horizontal="center" vertical="center"/>
    </xf>
    <xf numFmtId="0" fontId="10" fillId="11" borderId="42" xfId="0" applyFont="1" applyFill="1" applyBorder="1" applyAlignment="1">
      <alignment horizontal="center" vertical="center"/>
    </xf>
    <xf numFmtId="0" fontId="10" fillId="11" borderId="43" xfId="0" applyFont="1" applyFill="1" applyBorder="1" applyAlignment="1">
      <alignment horizontal="center" vertical="center"/>
    </xf>
    <xf numFmtId="0" fontId="0" fillId="6" borderId="0" xfId="0" applyFill="1" applyAlignment="1">
      <alignment horizontal="center" vertical="top" wrapText="1"/>
    </xf>
    <xf numFmtId="0" fontId="0" fillId="0" borderId="0" xfId="0" applyAlignment="1">
      <alignment horizontal="center" wrapText="1"/>
    </xf>
  </cellXfs>
  <cellStyles count="2">
    <cellStyle name="Prozent" xfId="1" builtinId="5"/>
    <cellStyle name="Standard" xfId="0" builtinId="0"/>
  </cellStyles>
  <dxfs count="16">
    <dxf>
      <fill>
        <patternFill>
          <bgColor theme="8" tint="0.39994506668294322"/>
        </patternFill>
      </fill>
    </dxf>
    <dxf>
      <font>
        <color rgb="FF9C0006"/>
      </font>
      <fill>
        <patternFill>
          <bgColor rgb="FFFFC7CE"/>
        </patternFill>
      </fill>
    </dxf>
    <dxf>
      <fill>
        <patternFill>
          <bgColor theme="8" tint="0.39994506668294322"/>
        </patternFill>
      </fill>
    </dxf>
    <dxf>
      <fill>
        <patternFill>
          <bgColor theme="8" tint="0.3999450666829432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gradientFill type="path" left="0.5" right="0.5" top="0.5" bottom="0.5">
          <stop position="0">
            <color theme="4" tint="0.59999389629810485"/>
          </stop>
          <stop position="1">
            <color theme="4"/>
          </stop>
        </gradientFill>
      </fill>
    </dxf>
    <dxf>
      <fill>
        <patternFill>
          <bgColor theme="8" tint="0.39994506668294322"/>
        </patternFill>
      </fill>
    </dxf>
    <dxf>
      <font>
        <color rgb="FF9C0006"/>
      </font>
      <fill>
        <patternFill>
          <bgColor rgb="FFFFC7CE"/>
        </patternFill>
      </fill>
    </dxf>
    <dxf>
      <fill>
        <patternFill>
          <bgColor theme="8" tint="0.39994506668294322"/>
        </patternFill>
      </fill>
    </dxf>
    <dxf>
      <fill>
        <patternFill>
          <bgColor theme="8" tint="0.3999450666829432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gradientFill type="path" left="0.5" right="0.5" top="0.5" bottom="0.5">
          <stop position="0">
            <color theme="4" tint="0.59999389629810485"/>
          </stop>
          <stop position="1">
            <color theme="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635687780406762E-2"/>
          <c:y val="0.15314978731106887"/>
          <c:w val="0.85229561822013633"/>
          <c:h val="0.74509307026276883"/>
        </c:manualLayout>
      </c:layout>
      <c:bar3DChart>
        <c:barDir val="col"/>
        <c:grouping val="standard"/>
        <c:varyColors val="0"/>
        <c:ser>
          <c:idx val="0"/>
          <c:order val="0"/>
          <c:tx>
            <c:strRef>
              <c:f>Werte!$W$10:$W$12</c:f>
              <c:strCache>
                <c:ptCount val="3"/>
                <c:pt idx="0">
                  <c:v>Soll-Gewicht</c:v>
                </c:pt>
              </c:strCache>
            </c:strRef>
          </c:tx>
          <c:spPr>
            <a:gradFill flip="none" rotWithShape="1">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tileRect/>
            </a:gradFill>
            <a:ln>
              <a:noFill/>
            </a:ln>
            <a:effectLst/>
            <a:sp3d/>
          </c:spPr>
          <c:invertIfNegative val="0"/>
          <c:dPt>
            <c:idx val="3"/>
            <c:invertIfNegative val="0"/>
            <c:bubble3D val="0"/>
            <c:spPr>
              <a:gradFill flip="none" rotWithShape="1">
                <a:gsLst>
                  <a:gs pos="0">
                    <a:schemeClr val="accent6">
                      <a:lumMod val="40000"/>
                      <a:lumOff val="60000"/>
                    </a:schemeClr>
                  </a:gs>
                  <a:gs pos="46000">
                    <a:schemeClr val="accent6">
                      <a:lumMod val="95000"/>
                      <a:lumOff val="5000"/>
                    </a:schemeClr>
                  </a:gs>
                  <a:gs pos="100000">
                    <a:schemeClr val="accent6">
                      <a:lumMod val="60000"/>
                    </a:schemeClr>
                  </a:gs>
                </a:gsLst>
                <a:path path="circle">
                  <a:fillToRect l="50000" t="130000" r="50000" b="-30000"/>
                </a:path>
                <a:tileRect/>
              </a:gradFill>
              <a:ln>
                <a:noFill/>
              </a:ln>
              <a:effectLst/>
              <a:scene3d>
                <a:camera prst="orthographicFront"/>
                <a:lightRig rig="threePt" dir="t"/>
              </a:scene3d>
              <a:sp3d>
                <a:bevelT w="0" h="0"/>
              </a:sp3d>
            </c:spPr>
            <c:extLst>
              <c:ext xmlns:c16="http://schemas.microsoft.com/office/drawing/2014/chart" uri="{C3380CC4-5D6E-409C-BE32-E72D297353CC}">
                <c16:uniqueId val="{00000000-B519-4275-A6DC-B2300F50C268}"/>
              </c:ext>
            </c:extLst>
          </c:dPt>
          <c:cat>
            <c:numRef>
              <c:f>Werte!$V$13:$V$64</c:f>
              <c:numCache>
                <c:formatCode>General</c:formatCode>
                <c:ptCount val="52"/>
                <c:pt idx="0">
                  <c:v>33</c:v>
                </c:pt>
                <c:pt idx="1">
                  <c:v>34</c:v>
                </c:pt>
                <c:pt idx="2">
                  <c:v>35</c:v>
                </c:pt>
                <c:pt idx="3">
                  <c:v>36</c:v>
                </c:pt>
                <c:pt idx="4">
                  <c:v>37</c:v>
                </c:pt>
                <c:pt idx="5">
                  <c:v>38</c:v>
                </c:pt>
                <c:pt idx="6">
                  <c:v>39</c:v>
                </c:pt>
                <c:pt idx="7">
                  <c:v>40</c:v>
                </c:pt>
                <c:pt idx="8">
                  <c:v>41</c:v>
                </c:pt>
                <c:pt idx="9">
                  <c:v>42</c:v>
                </c:pt>
                <c:pt idx="10">
                  <c:v>43</c:v>
                </c:pt>
                <c:pt idx="11">
                  <c:v>44</c:v>
                </c:pt>
                <c:pt idx="12">
                  <c:v>45</c:v>
                </c:pt>
                <c:pt idx="13">
                  <c:v>46</c:v>
                </c:pt>
                <c:pt idx="14">
                  <c:v>47</c:v>
                </c:pt>
                <c:pt idx="15">
                  <c:v>48</c:v>
                </c:pt>
                <c:pt idx="16">
                  <c:v>49</c:v>
                </c:pt>
                <c:pt idx="17">
                  <c:v>50</c:v>
                </c:pt>
                <c:pt idx="18">
                  <c:v>51</c:v>
                </c:pt>
                <c:pt idx="19">
                  <c:v>52</c:v>
                </c:pt>
                <c:pt idx="20">
                  <c:v>1</c:v>
                </c:pt>
                <c:pt idx="21">
                  <c:v>2</c:v>
                </c:pt>
                <c:pt idx="22">
                  <c:v>3</c:v>
                </c:pt>
                <c:pt idx="23">
                  <c:v>4</c:v>
                </c:pt>
                <c:pt idx="24">
                  <c:v>5</c:v>
                </c:pt>
                <c:pt idx="25">
                  <c:v>6</c:v>
                </c:pt>
                <c:pt idx="26">
                  <c:v>7</c:v>
                </c:pt>
                <c:pt idx="27">
                  <c:v>8</c:v>
                </c:pt>
                <c:pt idx="28">
                  <c:v>9</c:v>
                </c:pt>
                <c:pt idx="29">
                  <c:v>10</c:v>
                </c:pt>
                <c:pt idx="30">
                  <c:v>11</c:v>
                </c:pt>
                <c:pt idx="31">
                  <c:v>12</c:v>
                </c:pt>
                <c:pt idx="32">
                  <c:v>13</c:v>
                </c:pt>
                <c:pt idx="33">
                  <c:v>14</c:v>
                </c:pt>
                <c:pt idx="34">
                  <c:v>15</c:v>
                </c:pt>
                <c:pt idx="35">
                  <c:v>16</c:v>
                </c:pt>
                <c:pt idx="36">
                  <c:v>17</c:v>
                </c:pt>
                <c:pt idx="37">
                  <c:v>18</c:v>
                </c:pt>
                <c:pt idx="38">
                  <c:v>19</c:v>
                </c:pt>
                <c:pt idx="39">
                  <c:v>20</c:v>
                </c:pt>
                <c:pt idx="40">
                  <c:v>21</c:v>
                </c:pt>
                <c:pt idx="41">
                  <c:v>22</c:v>
                </c:pt>
                <c:pt idx="42">
                  <c:v>23</c:v>
                </c:pt>
                <c:pt idx="43">
                  <c:v>24</c:v>
                </c:pt>
                <c:pt idx="44">
                  <c:v>25</c:v>
                </c:pt>
                <c:pt idx="45">
                  <c:v>26</c:v>
                </c:pt>
                <c:pt idx="46">
                  <c:v>27</c:v>
                </c:pt>
                <c:pt idx="47">
                  <c:v>28</c:v>
                </c:pt>
                <c:pt idx="48">
                  <c:v>29</c:v>
                </c:pt>
                <c:pt idx="49">
                  <c:v>30</c:v>
                </c:pt>
                <c:pt idx="50">
                  <c:v>31</c:v>
                </c:pt>
                <c:pt idx="51">
                  <c:v>32</c:v>
                </c:pt>
              </c:numCache>
            </c:numRef>
          </c:cat>
          <c:val>
            <c:numRef>
              <c:f>Werte!$W$13:$W$64</c:f>
              <c:numCache>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hape val="cylinder"/>
          <c:extLst>
            <c:ext xmlns:c16="http://schemas.microsoft.com/office/drawing/2014/chart" uri="{C3380CC4-5D6E-409C-BE32-E72D297353CC}">
              <c16:uniqueId val="{00000000-6F56-499A-A3EA-0AE5C86D4BB4}"/>
            </c:ext>
          </c:extLst>
        </c:ser>
        <c:ser>
          <c:idx val="1"/>
          <c:order val="1"/>
          <c:tx>
            <c:strRef>
              <c:f>Werte!$X$10:$X$12</c:f>
              <c:strCache>
                <c:ptCount val="3"/>
                <c:pt idx="0">
                  <c:v>Aktuelles Gewicht</c:v>
                </c:pt>
              </c:strCache>
            </c:strRef>
          </c:tx>
          <c:spPr>
            <a:gradFill flip="none" rotWithShape="1">
              <a:gsLst>
                <a:gs pos="0">
                  <a:schemeClr val="accent1">
                    <a:lumMod val="40000"/>
                    <a:lumOff val="60000"/>
                  </a:schemeClr>
                </a:gs>
                <a:gs pos="46000">
                  <a:schemeClr val="accent1">
                    <a:lumMod val="95000"/>
                    <a:lumOff val="5000"/>
                  </a:schemeClr>
                </a:gs>
                <a:gs pos="100000">
                  <a:schemeClr val="accent1">
                    <a:lumMod val="60000"/>
                  </a:schemeClr>
                </a:gs>
              </a:gsLst>
              <a:path path="rect">
                <a:fillToRect l="100000" t="100000"/>
              </a:path>
              <a:tileRect r="-100000" b="-100000"/>
            </a:gradFill>
            <a:ln>
              <a:noFill/>
            </a:ln>
            <a:effectLst/>
            <a:sp3d/>
          </c:spPr>
          <c:invertIfNegative val="0"/>
          <c:cat>
            <c:numRef>
              <c:f>Werte!$V$13:$V$64</c:f>
              <c:numCache>
                <c:formatCode>General</c:formatCode>
                <c:ptCount val="52"/>
                <c:pt idx="0">
                  <c:v>33</c:v>
                </c:pt>
                <c:pt idx="1">
                  <c:v>34</c:v>
                </c:pt>
                <c:pt idx="2">
                  <c:v>35</c:v>
                </c:pt>
                <c:pt idx="3">
                  <c:v>36</c:v>
                </c:pt>
                <c:pt idx="4">
                  <c:v>37</c:v>
                </c:pt>
                <c:pt idx="5">
                  <c:v>38</c:v>
                </c:pt>
                <c:pt idx="6">
                  <c:v>39</c:v>
                </c:pt>
                <c:pt idx="7">
                  <c:v>40</c:v>
                </c:pt>
                <c:pt idx="8">
                  <c:v>41</c:v>
                </c:pt>
                <c:pt idx="9">
                  <c:v>42</c:v>
                </c:pt>
                <c:pt idx="10">
                  <c:v>43</c:v>
                </c:pt>
                <c:pt idx="11">
                  <c:v>44</c:v>
                </c:pt>
                <c:pt idx="12">
                  <c:v>45</c:v>
                </c:pt>
                <c:pt idx="13">
                  <c:v>46</c:v>
                </c:pt>
                <c:pt idx="14">
                  <c:v>47</c:v>
                </c:pt>
                <c:pt idx="15">
                  <c:v>48</c:v>
                </c:pt>
                <c:pt idx="16">
                  <c:v>49</c:v>
                </c:pt>
                <c:pt idx="17">
                  <c:v>50</c:v>
                </c:pt>
                <c:pt idx="18">
                  <c:v>51</c:v>
                </c:pt>
                <c:pt idx="19">
                  <c:v>52</c:v>
                </c:pt>
                <c:pt idx="20">
                  <c:v>1</c:v>
                </c:pt>
                <c:pt idx="21">
                  <c:v>2</c:v>
                </c:pt>
                <c:pt idx="22">
                  <c:v>3</c:v>
                </c:pt>
                <c:pt idx="23">
                  <c:v>4</c:v>
                </c:pt>
                <c:pt idx="24">
                  <c:v>5</c:v>
                </c:pt>
                <c:pt idx="25">
                  <c:v>6</c:v>
                </c:pt>
                <c:pt idx="26">
                  <c:v>7</c:v>
                </c:pt>
                <c:pt idx="27">
                  <c:v>8</c:v>
                </c:pt>
                <c:pt idx="28">
                  <c:v>9</c:v>
                </c:pt>
                <c:pt idx="29">
                  <c:v>10</c:v>
                </c:pt>
                <c:pt idx="30">
                  <c:v>11</c:v>
                </c:pt>
                <c:pt idx="31">
                  <c:v>12</c:v>
                </c:pt>
                <c:pt idx="32">
                  <c:v>13</c:v>
                </c:pt>
                <c:pt idx="33">
                  <c:v>14</c:v>
                </c:pt>
                <c:pt idx="34">
                  <c:v>15</c:v>
                </c:pt>
                <c:pt idx="35">
                  <c:v>16</c:v>
                </c:pt>
                <c:pt idx="36">
                  <c:v>17</c:v>
                </c:pt>
                <c:pt idx="37">
                  <c:v>18</c:v>
                </c:pt>
                <c:pt idx="38">
                  <c:v>19</c:v>
                </c:pt>
                <c:pt idx="39">
                  <c:v>20</c:v>
                </c:pt>
                <c:pt idx="40">
                  <c:v>21</c:v>
                </c:pt>
                <c:pt idx="41">
                  <c:v>22</c:v>
                </c:pt>
                <c:pt idx="42">
                  <c:v>23</c:v>
                </c:pt>
                <c:pt idx="43">
                  <c:v>24</c:v>
                </c:pt>
                <c:pt idx="44">
                  <c:v>25</c:v>
                </c:pt>
                <c:pt idx="45">
                  <c:v>26</c:v>
                </c:pt>
                <c:pt idx="46">
                  <c:v>27</c:v>
                </c:pt>
                <c:pt idx="47">
                  <c:v>28</c:v>
                </c:pt>
                <c:pt idx="48">
                  <c:v>29</c:v>
                </c:pt>
                <c:pt idx="49">
                  <c:v>30</c:v>
                </c:pt>
                <c:pt idx="50">
                  <c:v>31</c:v>
                </c:pt>
                <c:pt idx="51">
                  <c:v>32</c:v>
                </c:pt>
              </c:numCache>
            </c:numRef>
          </c:cat>
          <c:val>
            <c:numRef>
              <c:f>Werte!$X$13:$X$64</c:f>
              <c:numCache>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hape val="cylinder"/>
          <c:extLst>
            <c:ext xmlns:c16="http://schemas.microsoft.com/office/drawing/2014/chart" uri="{C3380CC4-5D6E-409C-BE32-E72D297353CC}">
              <c16:uniqueId val="{00000001-6F56-499A-A3EA-0AE5C86D4BB4}"/>
            </c:ext>
          </c:extLst>
        </c:ser>
        <c:dLbls>
          <c:showLegendKey val="0"/>
          <c:showVal val="0"/>
          <c:showCatName val="0"/>
          <c:showSerName val="0"/>
          <c:showPercent val="0"/>
          <c:showBubbleSize val="0"/>
        </c:dLbls>
        <c:gapWidth val="150"/>
        <c:shape val="box"/>
        <c:axId val="413563048"/>
        <c:axId val="413564488"/>
        <c:axId val="560587512"/>
      </c:bar3DChart>
      <c:catAx>
        <c:axId val="413563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3564488"/>
        <c:crosses val="autoZero"/>
        <c:auto val="1"/>
        <c:lblAlgn val="ctr"/>
        <c:lblOffset val="100"/>
        <c:noMultiLvlLbl val="0"/>
      </c:catAx>
      <c:valAx>
        <c:axId val="413564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3563048"/>
        <c:crosses val="autoZero"/>
        <c:crossBetween val="between"/>
      </c:valAx>
      <c:serAx>
        <c:axId val="560587512"/>
        <c:scaling>
          <c:orientation val="minMax"/>
        </c:scaling>
        <c:delete val="1"/>
        <c:axPos val="b"/>
        <c:majorTickMark val="none"/>
        <c:minorTickMark val="none"/>
        <c:tickLblPos val="nextTo"/>
        <c:crossAx val="413564488"/>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Start!K7"/><Relationship Id="rId1" Type="http://schemas.openxmlformats.org/officeDocument/2006/relationships/image" Target="../media/image1.png"/><Relationship Id="rId6" Type="http://schemas.openxmlformats.org/officeDocument/2006/relationships/hyperlink" Target="#fitness!K7"/><Relationship Id="rId5" Type="http://schemas.openxmlformats.org/officeDocument/2006/relationships/hyperlink" Target="#'Gewichts-Tabelle'!A1"/><Relationship Id="rId4" Type="http://schemas.openxmlformats.org/officeDocument/2006/relationships/hyperlink" Target="#'Pers&#246;nliche Daten'!K7"/></Relationships>
</file>

<file path=xl/drawings/_rels/drawing10.xml.rels><?xml version="1.0" encoding="UTF-8" standalone="yes"?>
<Relationships xmlns="http://schemas.openxmlformats.org/package/2006/relationships"><Relationship Id="rId3" Type="http://schemas.openxmlformats.org/officeDocument/2006/relationships/hyperlink" Target="#fitness!K7"/><Relationship Id="rId2" Type="http://schemas.openxmlformats.org/officeDocument/2006/relationships/image" Target="../media/image2.png"/><Relationship Id="rId1" Type="http://schemas.openxmlformats.org/officeDocument/2006/relationships/hyperlink" Target="#Start!K7"/></Relationships>
</file>

<file path=xl/drawings/_rels/drawing11.xml.rels><?xml version="1.0" encoding="UTF-8" standalone="yes"?>
<Relationships xmlns="http://schemas.openxmlformats.org/package/2006/relationships"><Relationship Id="rId3" Type="http://schemas.openxmlformats.org/officeDocument/2006/relationships/hyperlink" Target="#'Pers&#246;nliche Daten'!K7"/><Relationship Id="rId2" Type="http://schemas.openxmlformats.org/officeDocument/2006/relationships/image" Target="../media/image2.png"/><Relationship Id="rId1" Type="http://schemas.openxmlformats.org/officeDocument/2006/relationships/hyperlink" Target="#Start!K7"/><Relationship Id="rId6" Type="http://schemas.openxmlformats.org/officeDocument/2006/relationships/hyperlink" Target="#&#220;bersicht!K7"/><Relationship Id="rId5" Type="http://schemas.openxmlformats.org/officeDocument/2006/relationships/hyperlink" Target="#'Gewichts-Ziel'!K7"/><Relationship Id="rId4" Type="http://schemas.openxmlformats.org/officeDocument/2006/relationships/hyperlink" Target="#'Gewichts-Tabelle'!A1"/></Relationships>
</file>

<file path=xl/drawings/_rels/drawing12.xml.rels><?xml version="1.0" encoding="UTF-8" standalone="yes"?>
<Relationships xmlns="http://schemas.openxmlformats.org/package/2006/relationships"><Relationship Id="rId8" Type="http://schemas.openxmlformats.org/officeDocument/2006/relationships/hyperlink" Target="#fitness!K7"/><Relationship Id="rId13" Type="http://schemas.openxmlformats.org/officeDocument/2006/relationships/image" Target="../media/image5.jpeg"/><Relationship Id="rId18" Type="http://schemas.openxmlformats.org/officeDocument/2006/relationships/image" Target="../media/image6.png"/><Relationship Id="rId3" Type="http://schemas.openxmlformats.org/officeDocument/2006/relationships/hyperlink" Target="#'Pers&#246;nliche Daten'!K7"/><Relationship Id="rId7" Type="http://schemas.openxmlformats.org/officeDocument/2006/relationships/chart" Target="../charts/chart1.xml"/><Relationship Id="rId12" Type="http://schemas.openxmlformats.org/officeDocument/2006/relationships/hyperlink" Target="#Schritte!K7"/><Relationship Id="rId17" Type="http://schemas.openxmlformats.org/officeDocument/2006/relationships/hyperlink" Target="#Pushups!K7"/><Relationship Id="rId2" Type="http://schemas.openxmlformats.org/officeDocument/2006/relationships/image" Target="../media/image2.png"/><Relationship Id="rId16" Type="http://schemas.openxmlformats.org/officeDocument/2006/relationships/image" Target="../media/image7.jpeg"/><Relationship Id="rId1" Type="http://schemas.openxmlformats.org/officeDocument/2006/relationships/hyperlink" Target="#Start!K7"/><Relationship Id="rId6" Type="http://schemas.openxmlformats.org/officeDocument/2006/relationships/hyperlink" Target="#&#220;bersicht!K7"/><Relationship Id="rId11" Type="http://schemas.openxmlformats.org/officeDocument/2006/relationships/image" Target="../media/image4.jpeg"/><Relationship Id="rId5" Type="http://schemas.openxmlformats.org/officeDocument/2006/relationships/hyperlink" Target="#'Gewichts-Ziel'!K7"/><Relationship Id="rId15" Type="http://schemas.openxmlformats.org/officeDocument/2006/relationships/hyperlink" Target="#Squats!K7"/><Relationship Id="rId10" Type="http://schemas.openxmlformats.org/officeDocument/2006/relationships/hyperlink" Target="#Spaziergang!K7"/><Relationship Id="rId19" Type="http://schemas.openxmlformats.org/officeDocument/2006/relationships/hyperlink" Target="#Situps!K7"/><Relationship Id="rId4" Type="http://schemas.openxmlformats.org/officeDocument/2006/relationships/hyperlink" Target="#'Gewichts-Tabelle'!A1"/><Relationship Id="rId9" Type="http://schemas.openxmlformats.org/officeDocument/2006/relationships/image" Target="../media/image3.jpeg"/><Relationship Id="rId1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hyperlink" Target="#'Pers&#246;nliche Daten'!K7"/><Relationship Id="rId2" Type="http://schemas.openxmlformats.org/officeDocument/2006/relationships/image" Target="../media/image2.png"/><Relationship Id="rId1" Type="http://schemas.openxmlformats.org/officeDocument/2006/relationships/hyperlink" Target="#Start!K7"/><Relationship Id="rId6" Type="http://schemas.openxmlformats.org/officeDocument/2006/relationships/hyperlink" Target="#'Pers&#246;nliche Daten'!M18"/><Relationship Id="rId5" Type="http://schemas.openxmlformats.org/officeDocument/2006/relationships/hyperlink" Target="#'Gewichts-Ziel'!K7"/><Relationship Id="rId4" Type="http://schemas.openxmlformats.org/officeDocument/2006/relationships/hyperlink" Target="#'Gewichts-Tabelle'!A1"/></Relationships>
</file>

<file path=xl/drawings/_rels/drawing14.xml.rels><?xml version="1.0" encoding="UTF-8" standalone="yes"?>
<Relationships xmlns="http://schemas.openxmlformats.org/package/2006/relationships"><Relationship Id="rId3" Type="http://schemas.openxmlformats.org/officeDocument/2006/relationships/hyperlink" Target="#'Pers&#246;nliche Daten'!K7"/><Relationship Id="rId2" Type="http://schemas.openxmlformats.org/officeDocument/2006/relationships/image" Target="../media/image2.png"/><Relationship Id="rId1" Type="http://schemas.openxmlformats.org/officeDocument/2006/relationships/hyperlink" Target="#Start!K7"/><Relationship Id="rId6" Type="http://schemas.openxmlformats.org/officeDocument/2006/relationships/hyperlink" Target="#'Gewichts-Tabelle'!A1"/><Relationship Id="rId5" Type="http://schemas.openxmlformats.org/officeDocument/2006/relationships/hyperlink" Target="#'Gewichts-Ziel'!K7"/><Relationship Id="rId4" Type="http://schemas.openxmlformats.org/officeDocument/2006/relationships/hyperlink" Target="#Gewicht!K7"/></Relationships>
</file>

<file path=xl/drawings/_rels/drawing15.xml.rels><?xml version="1.0" encoding="UTF-8" standalone="yes"?>
<Relationships xmlns="http://schemas.openxmlformats.org/package/2006/relationships"><Relationship Id="rId3" Type="http://schemas.openxmlformats.org/officeDocument/2006/relationships/hyperlink" Target="#'Pers&#246;nliche Daten'!K7"/><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Start!K7"/><Relationship Id="rId6" Type="http://schemas.openxmlformats.org/officeDocument/2006/relationships/hyperlink" Target="#'Gewichts-Tabelle'!A1"/><Relationship Id="rId5" Type="http://schemas.openxmlformats.org/officeDocument/2006/relationships/hyperlink" Target="#'Gewichts-Ziel'!K7"/><Relationship Id="rId4" Type="http://schemas.openxmlformats.org/officeDocument/2006/relationships/hyperlink" Target="#Gewicht!K7"/></Relationships>
</file>

<file path=xl/drawings/_rels/drawing16.xml.rels><?xml version="1.0" encoding="UTF-8" standalone="yes"?>
<Relationships xmlns="http://schemas.openxmlformats.org/package/2006/relationships"><Relationship Id="rId3" Type="http://schemas.openxmlformats.org/officeDocument/2006/relationships/hyperlink" Target="#'Pers&#246;nliche Daten'!K7"/><Relationship Id="rId7" Type="http://schemas.openxmlformats.org/officeDocument/2006/relationships/hyperlink" Target="#fitness!K7"/><Relationship Id="rId2" Type="http://schemas.openxmlformats.org/officeDocument/2006/relationships/image" Target="../media/image2.png"/><Relationship Id="rId1" Type="http://schemas.openxmlformats.org/officeDocument/2006/relationships/hyperlink" Target="#Start!K7"/><Relationship Id="rId6" Type="http://schemas.openxmlformats.org/officeDocument/2006/relationships/hyperlink" Target="#&#220;bersicht!K7"/><Relationship Id="rId5" Type="http://schemas.openxmlformats.org/officeDocument/2006/relationships/hyperlink" Target="#'Gewichts-Ziel'!K7"/><Relationship Id="rId4" Type="http://schemas.openxmlformats.org/officeDocument/2006/relationships/hyperlink" Target="#Gewicht!K7"/></Relationships>
</file>

<file path=xl/drawings/_rels/drawing2.xml.rels><?xml version="1.0" encoding="UTF-8" standalone="yes"?>
<Relationships xmlns="http://schemas.openxmlformats.org/package/2006/relationships"><Relationship Id="rId3" Type="http://schemas.openxmlformats.org/officeDocument/2006/relationships/hyperlink" Target="#'Pers&#246;nliche Daten'!K7"/><Relationship Id="rId7" Type="http://schemas.openxmlformats.org/officeDocument/2006/relationships/hyperlink" Target="#Umrechner!K7"/><Relationship Id="rId2" Type="http://schemas.openxmlformats.org/officeDocument/2006/relationships/image" Target="../media/image2.png"/><Relationship Id="rId1" Type="http://schemas.openxmlformats.org/officeDocument/2006/relationships/hyperlink" Target="#Start!K7"/><Relationship Id="rId6" Type="http://schemas.openxmlformats.org/officeDocument/2006/relationships/hyperlink" Target="#'Gewichts-Tabelle'!A1"/><Relationship Id="rId5" Type="http://schemas.openxmlformats.org/officeDocument/2006/relationships/hyperlink" Target="#'Gewichts-Ziel'!K7"/><Relationship Id="rId4" Type="http://schemas.openxmlformats.org/officeDocument/2006/relationships/hyperlink" Target="#Gewicht!K7"/></Relationships>
</file>

<file path=xl/drawings/_rels/drawing3.xml.rels><?xml version="1.0" encoding="UTF-8" standalone="yes"?>
<Relationships xmlns="http://schemas.openxmlformats.org/package/2006/relationships"><Relationship Id="rId3" Type="http://schemas.openxmlformats.org/officeDocument/2006/relationships/hyperlink" Target="#'Pers&#246;nliche Daten'!K7"/><Relationship Id="rId2" Type="http://schemas.openxmlformats.org/officeDocument/2006/relationships/image" Target="../media/image2.png"/><Relationship Id="rId1" Type="http://schemas.openxmlformats.org/officeDocument/2006/relationships/hyperlink" Target="#Start!K7"/><Relationship Id="rId6" Type="http://schemas.openxmlformats.org/officeDocument/2006/relationships/hyperlink" Target="#&#220;bersicht!K7"/><Relationship Id="rId5" Type="http://schemas.openxmlformats.org/officeDocument/2006/relationships/hyperlink" Target="#'Gewichts-Ziel'!K7"/><Relationship Id="rId4" Type="http://schemas.openxmlformats.org/officeDocument/2006/relationships/hyperlink" Target="#'Gewichts-Tabelle'!A1"/></Relationships>
</file>

<file path=xl/drawings/_rels/drawing4.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Spaziergang!K7"/><Relationship Id="rId18" Type="http://schemas.openxmlformats.org/officeDocument/2006/relationships/hyperlink" Target="#Situps!K7"/><Relationship Id="rId3" Type="http://schemas.openxmlformats.org/officeDocument/2006/relationships/hyperlink" Target="#'Pers&#246;nliche Daten'!K7"/><Relationship Id="rId7" Type="http://schemas.openxmlformats.org/officeDocument/2006/relationships/image" Target="../media/image3.jpeg"/><Relationship Id="rId12" Type="http://schemas.openxmlformats.org/officeDocument/2006/relationships/image" Target="../media/image8.png"/><Relationship Id="rId17" Type="http://schemas.openxmlformats.org/officeDocument/2006/relationships/hyperlink" Target="#Pushups!K7"/><Relationship Id="rId2" Type="http://schemas.openxmlformats.org/officeDocument/2006/relationships/image" Target="../media/image2.png"/><Relationship Id="rId16" Type="http://schemas.openxmlformats.org/officeDocument/2006/relationships/hyperlink" Target="#Squats!K7"/><Relationship Id="rId1" Type="http://schemas.openxmlformats.org/officeDocument/2006/relationships/hyperlink" Target="#Start!K7"/><Relationship Id="rId6" Type="http://schemas.openxmlformats.org/officeDocument/2006/relationships/hyperlink" Target="#&#220;bersicht!K7"/><Relationship Id="rId11" Type="http://schemas.openxmlformats.org/officeDocument/2006/relationships/image" Target="../media/image7.jpeg"/><Relationship Id="rId5" Type="http://schemas.openxmlformats.org/officeDocument/2006/relationships/hyperlink" Target="#'Gewichts-Ziel'!K7"/><Relationship Id="rId15" Type="http://schemas.openxmlformats.org/officeDocument/2006/relationships/hyperlink" Target="#Treppen!K7"/><Relationship Id="rId10" Type="http://schemas.openxmlformats.org/officeDocument/2006/relationships/image" Target="../media/image6.png"/><Relationship Id="rId4" Type="http://schemas.openxmlformats.org/officeDocument/2006/relationships/hyperlink" Target="#Gewicht!K7"/><Relationship Id="rId9" Type="http://schemas.openxmlformats.org/officeDocument/2006/relationships/image" Target="../media/image5.jpeg"/><Relationship Id="rId14" Type="http://schemas.openxmlformats.org/officeDocument/2006/relationships/hyperlink" Target="#Schritte!K7"/></Relationships>
</file>

<file path=xl/drawings/_rels/drawing5.xml.rels><?xml version="1.0" encoding="UTF-8" standalone="yes"?>
<Relationships xmlns="http://schemas.openxmlformats.org/package/2006/relationships"><Relationship Id="rId3" Type="http://schemas.openxmlformats.org/officeDocument/2006/relationships/hyperlink" Target="#fitness!K7"/><Relationship Id="rId2" Type="http://schemas.openxmlformats.org/officeDocument/2006/relationships/image" Target="../media/image2.png"/><Relationship Id="rId1" Type="http://schemas.openxmlformats.org/officeDocument/2006/relationships/hyperlink" Target="#Start!K7"/></Relationships>
</file>

<file path=xl/drawings/_rels/drawing6.xml.rels><?xml version="1.0" encoding="UTF-8" standalone="yes"?>
<Relationships xmlns="http://schemas.openxmlformats.org/package/2006/relationships"><Relationship Id="rId3" Type="http://schemas.openxmlformats.org/officeDocument/2006/relationships/hyperlink" Target="#fitness!K7"/><Relationship Id="rId2" Type="http://schemas.openxmlformats.org/officeDocument/2006/relationships/image" Target="../media/image2.png"/><Relationship Id="rId1" Type="http://schemas.openxmlformats.org/officeDocument/2006/relationships/hyperlink" Target="#Start!K7"/></Relationships>
</file>

<file path=xl/drawings/_rels/drawing7.xml.rels><?xml version="1.0" encoding="UTF-8" standalone="yes"?>
<Relationships xmlns="http://schemas.openxmlformats.org/package/2006/relationships"><Relationship Id="rId3" Type="http://schemas.openxmlformats.org/officeDocument/2006/relationships/hyperlink" Target="#fitness!K7"/><Relationship Id="rId2" Type="http://schemas.openxmlformats.org/officeDocument/2006/relationships/image" Target="../media/image2.png"/><Relationship Id="rId1" Type="http://schemas.openxmlformats.org/officeDocument/2006/relationships/hyperlink" Target="#Start!K7"/></Relationships>
</file>

<file path=xl/drawings/_rels/drawing8.xml.rels><?xml version="1.0" encoding="UTF-8" standalone="yes"?>
<Relationships xmlns="http://schemas.openxmlformats.org/package/2006/relationships"><Relationship Id="rId3" Type="http://schemas.openxmlformats.org/officeDocument/2006/relationships/hyperlink" Target="#fitness!K7"/><Relationship Id="rId2" Type="http://schemas.openxmlformats.org/officeDocument/2006/relationships/image" Target="../media/image2.png"/><Relationship Id="rId1" Type="http://schemas.openxmlformats.org/officeDocument/2006/relationships/hyperlink" Target="#Start!K7"/></Relationships>
</file>

<file path=xl/drawings/_rels/drawing9.xml.rels><?xml version="1.0" encoding="UTF-8" standalone="yes"?>
<Relationships xmlns="http://schemas.openxmlformats.org/package/2006/relationships"><Relationship Id="rId3" Type="http://schemas.openxmlformats.org/officeDocument/2006/relationships/hyperlink" Target="#fitness!K7"/><Relationship Id="rId2" Type="http://schemas.openxmlformats.org/officeDocument/2006/relationships/image" Target="../media/image2.png"/><Relationship Id="rId1" Type="http://schemas.openxmlformats.org/officeDocument/2006/relationships/hyperlink" Target="#Start!K7"/></Relationships>
</file>

<file path=xl/drawings/drawing1.xml><?xml version="1.0" encoding="utf-8"?>
<xdr:wsDr xmlns:xdr="http://schemas.openxmlformats.org/drawingml/2006/spreadsheetDrawing" xmlns:a="http://schemas.openxmlformats.org/drawingml/2006/main">
  <xdr:twoCellAnchor editAs="oneCell">
    <xdr:from>
      <xdr:col>9</xdr:col>
      <xdr:colOff>180977</xdr:colOff>
      <xdr:row>8</xdr:row>
      <xdr:rowOff>1</xdr:rowOff>
    </xdr:from>
    <xdr:to>
      <xdr:col>15</xdr:col>
      <xdr:colOff>752474</xdr:colOff>
      <xdr:row>19</xdr:row>
      <xdr:rowOff>171450</xdr:rowOff>
    </xdr:to>
    <xdr:pic>
      <xdr:nvPicPr>
        <xdr:cNvPr id="2" name="Grafik 1">
          <a:extLst>
            <a:ext uri="{FF2B5EF4-FFF2-40B4-BE49-F238E27FC236}">
              <a16:creationId xmlns:a16="http://schemas.microsoft.com/office/drawing/2014/main" id="{FC8153B1-4507-4A11-AB1D-A91A0FCE3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95477" y="1371601"/>
          <a:ext cx="4571997" cy="2364920"/>
        </a:xfrm>
        <a:prstGeom prst="rect">
          <a:avLst/>
        </a:prstGeom>
      </xdr:spPr>
    </xdr:pic>
    <xdr:clientData/>
  </xdr:twoCellAnchor>
  <xdr:twoCellAnchor>
    <xdr:from>
      <xdr:col>0</xdr:col>
      <xdr:colOff>3362</xdr:colOff>
      <xdr:row>8</xdr:row>
      <xdr:rowOff>9525</xdr:rowOff>
    </xdr:from>
    <xdr:to>
      <xdr:col>8</xdr:col>
      <xdr:colOff>171450</xdr:colOff>
      <xdr:row>10</xdr:row>
      <xdr:rowOff>9525</xdr:rowOff>
    </xdr:to>
    <xdr:sp macro="" textlink="">
      <xdr:nvSpPr>
        <xdr:cNvPr id="16" name="Rechteck: abgerundete Ecken 15">
          <a:extLst>
            <a:ext uri="{FF2B5EF4-FFF2-40B4-BE49-F238E27FC236}">
              <a16:creationId xmlns:a16="http://schemas.microsoft.com/office/drawing/2014/main" id="{1F828848-92F3-4788-8752-92BE6D790B79}"/>
            </a:ext>
          </a:extLst>
        </xdr:cNvPr>
        <xdr:cNvSpPr/>
      </xdr:nvSpPr>
      <xdr:spPr>
        <a:xfrm>
          <a:off x="3362" y="137160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8</xdr:row>
      <xdr:rowOff>11207</xdr:rowOff>
    </xdr:from>
    <xdr:to>
      <xdr:col>9</xdr:col>
      <xdr:colOff>38100</xdr:colOff>
      <xdr:row>10</xdr:row>
      <xdr:rowOff>10705</xdr:rowOff>
    </xdr:to>
    <xdr:pic>
      <xdr:nvPicPr>
        <xdr:cNvPr id="17" name="Grafik 16">
          <a:hlinkClick xmlns:r="http://schemas.openxmlformats.org/officeDocument/2006/relationships" r:id="rId2"/>
          <a:extLst>
            <a:ext uri="{FF2B5EF4-FFF2-40B4-BE49-F238E27FC236}">
              <a16:creationId xmlns:a16="http://schemas.microsoft.com/office/drawing/2014/main" id="{BE25E2F1-38C7-4232-B35B-A6B3E1599F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82807"/>
          <a:ext cx="1752600" cy="380498"/>
        </a:xfrm>
        <a:prstGeom prst="rect">
          <a:avLst/>
        </a:prstGeom>
      </xdr:spPr>
    </xdr:pic>
    <xdr:clientData/>
  </xdr:twoCellAnchor>
  <xdr:twoCellAnchor>
    <xdr:from>
      <xdr:col>0</xdr:col>
      <xdr:colOff>22412</xdr:colOff>
      <xdr:row>11</xdr:row>
      <xdr:rowOff>38100</xdr:rowOff>
    </xdr:from>
    <xdr:to>
      <xdr:col>9</xdr:col>
      <xdr:colOff>0</xdr:colOff>
      <xdr:row>12</xdr:row>
      <xdr:rowOff>209551</xdr:rowOff>
    </xdr:to>
    <xdr:sp macro="" textlink="">
      <xdr:nvSpPr>
        <xdr:cNvPr id="19" name="Rechteck: abgerundete Ecken 18">
          <a:extLst>
            <a:ext uri="{FF2B5EF4-FFF2-40B4-BE49-F238E27FC236}">
              <a16:creationId xmlns:a16="http://schemas.microsoft.com/office/drawing/2014/main" id="{D45D660C-881A-412B-811F-E922E928E317}"/>
            </a:ext>
          </a:extLst>
        </xdr:cNvPr>
        <xdr:cNvSpPr/>
      </xdr:nvSpPr>
      <xdr:spPr>
        <a:xfrm>
          <a:off x="22412" y="1971675"/>
          <a:ext cx="1692088" cy="409576"/>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0</xdr:colOff>
      <xdr:row>14</xdr:row>
      <xdr:rowOff>9525</xdr:rowOff>
    </xdr:from>
    <xdr:to>
      <xdr:col>8</xdr:col>
      <xdr:colOff>168088</xdr:colOff>
      <xdr:row>16</xdr:row>
      <xdr:rowOff>9525</xdr:rowOff>
    </xdr:to>
    <xdr:sp macro="" textlink="">
      <xdr:nvSpPr>
        <xdr:cNvPr id="21" name="Rechteck: abgerundete Ecken 20">
          <a:extLst>
            <a:ext uri="{FF2B5EF4-FFF2-40B4-BE49-F238E27FC236}">
              <a16:creationId xmlns:a16="http://schemas.microsoft.com/office/drawing/2014/main" id="{4DCEABC1-7EC6-4E5F-94B3-FD9CB7EEBD4F}"/>
            </a:ext>
          </a:extLst>
        </xdr:cNvPr>
        <xdr:cNvSpPr/>
      </xdr:nvSpPr>
      <xdr:spPr>
        <a:xfrm>
          <a:off x="0" y="26098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11</xdr:row>
      <xdr:rowOff>39782</xdr:rowOff>
    </xdr:from>
    <xdr:to>
      <xdr:col>9</xdr:col>
      <xdr:colOff>43542</xdr:colOff>
      <xdr:row>12</xdr:row>
      <xdr:rowOff>206828</xdr:rowOff>
    </xdr:to>
    <xdr:pic>
      <xdr:nvPicPr>
        <xdr:cNvPr id="25" name="Grafik 24">
          <a:hlinkClick xmlns:r="http://schemas.openxmlformats.org/officeDocument/2006/relationships" r:id="rId4"/>
          <a:extLst>
            <a:ext uri="{FF2B5EF4-FFF2-40B4-BE49-F238E27FC236}">
              <a16:creationId xmlns:a16="http://schemas.microsoft.com/office/drawing/2014/main" id="{97115976-6A77-FF12-BA8A-CE6C9F7363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982882"/>
          <a:ext cx="1758042" cy="406532"/>
        </a:xfrm>
        <a:prstGeom prst="rect">
          <a:avLst/>
        </a:prstGeom>
      </xdr:spPr>
    </xdr:pic>
    <xdr:clientData/>
  </xdr:twoCellAnchor>
  <xdr:twoCellAnchor editAs="oneCell">
    <xdr:from>
      <xdr:col>0</xdr:col>
      <xdr:colOff>0</xdr:colOff>
      <xdr:row>14</xdr:row>
      <xdr:rowOff>11207</xdr:rowOff>
    </xdr:from>
    <xdr:to>
      <xdr:col>9</xdr:col>
      <xdr:colOff>5443</xdr:colOff>
      <xdr:row>16</xdr:row>
      <xdr:rowOff>10705</xdr:rowOff>
    </xdr:to>
    <xdr:pic>
      <xdr:nvPicPr>
        <xdr:cNvPr id="26" name="Grafik 25">
          <a:hlinkClick xmlns:r="http://schemas.openxmlformats.org/officeDocument/2006/relationships" r:id="rId5"/>
          <a:extLst>
            <a:ext uri="{FF2B5EF4-FFF2-40B4-BE49-F238E27FC236}">
              <a16:creationId xmlns:a16="http://schemas.microsoft.com/office/drawing/2014/main" id="{3EBF1CC6-721F-5FDD-76C6-95A5E83A2F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623778"/>
          <a:ext cx="1719943" cy="380498"/>
        </a:xfrm>
        <a:prstGeom prst="rect">
          <a:avLst/>
        </a:prstGeom>
      </xdr:spPr>
    </xdr:pic>
    <xdr:clientData/>
  </xdr:twoCellAnchor>
  <xdr:twoCellAnchor>
    <xdr:from>
      <xdr:col>0</xdr:col>
      <xdr:colOff>0</xdr:colOff>
      <xdr:row>0</xdr:row>
      <xdr:rowOff>1</xdr:rowOff>
    </xdr:from>
    <xdr:to>
      <xdr:col>18</xdr:col>
      <xdr:colOff>2533</xdr:colOff>
      <xdr:row>3</xdr:row>
      <xdr:rowOff>1</xdr:rowOff>
    </xdr:to>
    <xdr:sp macro="" textlink="">
      <xdr:nvSpPr>
        <xdr:cNvPr id="3" name="Rechteck: obere Ecken abgerundet 2">
          <a:extLst>
            <a:ext uri="{FF2B5EF4-FFF2-40B4-BE49-F238E27FC236}">
              <a16:creationId xmlns:a16="http://schemas.microsoft.com/office/drawing/2014/main" id="{FF6356A6-B2E3-4E8E-8B8F-A9B706D6AF73}"/>
            </a:ext>
          </a:extLst>
        </xdr:cNvPr>
        <xdr:cNvSpPr/>
      </xdr:nvSpPr>
      <xdr:spPr>
        <a:xfrm>
          <a:off x="0" y="1"/>
          <a:ext cx="8003533"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twoCellAnchor>
    <xdr:from>
      <xdr:col>0</xdr:col>
      <xdr:colOff>0</xdr:colOff>
      <xdr:row>17</xdr:row>
      <xdr:rowOff>9525</xdr:rowOff>
    </xdr:from>
    <xdr:to>
      <xdr:col>9</xdr:col>
      <xdr:colOff>9524</xdr:colOff>
      <xdr:row>19</xdr:row>
      <xdr:rowOff>9525</xdr:rowOff>
    </xdr:to>
    <xdr:sp macro="" textlink="">
      <xdr:nvSpPr>
        <xdr:cNvPr id="4" name="Rechteck: abgerundete Ecken 3">
          <a:extLst>
            <a:ext uri="{FF2B5EF4-FFF2-40B4-BE49-F238E27FC236}">
              <a16:creationId xmlns:a16="http://schemas.microsoft.com/office/drawing/2014/main" id="{713EB4F8-A618-4B98-B090-F29E34D7A2B8}"/>
            </a:ext>
          </a:extLst>
        </xdr:cNvPr>
        <xdr:cNvSpPr/>
      </xdr:nvSpPr>
      <xdr:spPr>
        <a:xfrm>
          <a:off x="0" y="3181350"/>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17</xdr:row>
      <xdr:rowOff>9525</xdr:rowOff>
    </xdr:from>
    <xdr:to>
      <xdr:col>9</xdr:col>
      <xdr:colOff>19050</xdr:colOff>
      <xdr:row>19</xdr:row>
      <xdr:rowOff>9023</xdr:rowOff>
    </xdr:to>
    <xdr:pic>
      <xdr:nvPicPr>
        <xdr:cNvPr id="5" name="Grafik 4">
          <a:hlinkClick xmlns:r="http://schemas.openxmlformats.org/officeDocument/2006/relationships" r:id="rId6"/>
          <a:extLst>
            <a:ext uri="{FF2B5EF4-FFF2-40B4-BE49-F238E27FC236}">
              <a16:creationId xmlns:a16="http://schemas.microsoft.com/office/drawing/2014/main" id="{68D7D972-F7E6-4679-A035-BA3D1AB7D1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181350"/>
          <a:ext cx="1733550" cy="380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2" name="Rechteck: abgerundete Ecken 1">
          <a:extLst>
            <a:ext uri="{FF2B5EF4-FFF2-40B4-BE49-F238E27FC236}">
              <a16:creationId xmlns:a16="http://schemas.microsoft.com/office/drawing/2014/main" id="{44840F0A-4577-4513-BF00-39465AA7DBD8}"/>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19050</xdr:colOff>
      <xdr:row>9</xdr:row>
      <xdr:rowOff>1180</xdr:rowOff>
    </xdr:to>
    <xdr:pic>
      <xdr:nvPicPr>
        <xdr:cNvPr id="3" name="Grafik 2">
          <a:hlinkClick xmlns:r="http://schemas.openxmlformats.org/officeDocument/2006/relationships" r:id="rId1"/>
          <a:extLst>
            <a:ext uri="{FF2B5EF4-FFF2-40B4-BE49-F238E27FC236}">
              <a16:creationId xmlns:a16="http://schemas.microsoft.com/office/drawing/2014/main" id="{6F64BC3C-ACFF-4CF5-8E15-C8BD4FEB33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33549" cy="380498"/>
        </a:xfrm>
        <a:prstGeom prst="rect">
          <a:avLst/>
        </a:prstGeom>
      </xdr:spPr>
    </xdr:pic>
    <xdr:clientData/>
  </xdr:twoCellAnchor>
  <xdr:twoCellAnchor>
    <xdr:from>
      <xdr:col>0</xdr:col>
      <xdr:colOff>0</xdr:colOff>
      <xdr:row>10</xdr:row>
      <xdr:rowOff>0</xdr:rowOff>
    </xdr:from>
    <xdr:to>
      <xdr:col>9</xdr:col>
      <xdr:colOff>9524</xdr:colOff>
      <xdr:row>12</xdr:row>
      <xdr:rowOff>0</xdr:rowOff>
    </xdr:to>
    <xdr:sp macro="" textlink="">
      <xdr:nvSpPr>
        <xdr:cNvPr id="4" name="Rechteck: abgerundete Ecken 3">
          <a:extLst>
            <a:ext uri="{FF2B5EF4-FFF2-40B4-BE49-F238E27FC236}">
              <a16:creationId xmlns:a16="http://schemas.microsoft.com/office/drawing/2014/main" id="{BC02CB03-F8CD-4DA4-8B36-B4214C2E44CE}"/>
            </a:ext>
          </a:extLst>
        </xdr:cNvPr>
        <xdr:cNvSpPr/>
      </xdr:nvSpPr>
      <xdr:spPr>
        <a:xfrm>
          <a:off x="0" y="1924050"/>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10</xdr:row>
      <xdr:rowOff>1682</xdr:rowOff>
    </xdr:from>
    <xdr:to>
      <xdr:col>9</xdr:col>
      <xdr:colOff>19050</xdr:colOff>
      <xdr:row>12</xdr:row>
      <xdr:rowOff>1180</xdr:rowOff>
    </xdr:to>
    <xdr:pic>
      <xdr:nvPicPr>
        <xdr:cNvPr id="5" name="Grafik 4">
          <a:hlinkClick xmlns:r="http://schemas.openxmlformats.org/officeDocument/2006/relationships" r:id="rId3"/>
          <a:extLst>
            <a:ext uri="{FF2B5EF4-FFF2-40B4-BE49-F238E27FC236}">
              <a16:creationId xmlns:a16="http://schemas.microsoft.com/office/drawing/2014/main" id="{0BD13B26-B8F1-4A07-906A-C6B2229CE1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25732"/>
          <a:ext cx="1733550" cy="380498"/>
        </a:xfrm>
        <a:prstGeom prst="rect">
          <a:avLst/>
        </a:prstGeom>
      </xdr:spPr>
    </xdr:pic>
    <xdr:clientData/>
  </xdr:twoCellAnchor>
  <xdr:twoCellAnchor>
    <xdr:from>
      <xdr:col>0</xdr:col>
      <xdr:colOff>0</xdr:colOff>
      <xdr:row>2</xdr:row>
      <xdr:rowOff>66675</xdr:rowOff>
    </xdr:from>
    <xdr:to>
      <xdr:col>17</xdr:col>
      <xdr:colOff>761999</xdr:colOff>
      <xdr:row>5</xdr:row>
      <xdr:rowOff>47625</xdr:rowOff>
    </xdr:to>
    <xdr:sp macro="" textlink="">
      <xdr:nvSpPr>
        <xdr:cNvPr id="6" name="Rechteck: obere Ecken abgerundet 5">
          <a:extLst>
            <a:ext uri="{FF2B5EF4-FFF2-40B4-BE49-F238E27FC236}">
              <a16:creationId xmlns:a16="http://schemas.microsoft.com/office/drawing/2014/main" id="{09E215F0-86EC-4741-971D-C14A0C28568C}"/>
            </a:ext>
          </a:extLst>
        </xdr:cNvPr>
        <xdr:cNvSpPr/>
      </xdr:nvSpPr>
      <xdr:spPr>
        <a:xfrm>
          <a:off x="0" y="447675"/>
          <a:ext cx="8105774"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22412</xdr:colOff>
      <xdr:row>9</xdr:row>
      <xdr:rowOff>9525</xdr:rowOff>
    </xdr:from>
    <xdr:to>
      <xdr:col>9</xdr:col>
      <xdr:colOff>0</xdr:colOff>
      <xdr:row>11</xdr:row>
      <xdr:rowOff>9525</xdr:rowOff>
    </xdr:to>
    <xdr:sp macro="" textlink="">
      <xdr:nvSpPr>
        <xdr:cNvPr id="30" name="Rechteck: abgerundete Ecken 29">
          <a:extLst>
            <a:ext uri="{FF2B5EF4-FFF2-40B4-BE49-F238E27FC236}">
              <a16:creationId xmlns:a16="http://schemas.microsoft.com/office/drawing/2014/main" id="{91364C9A-C0A8-4479-9398-6BFED7AB70B8}"/>
            </a:ext>
          </a:extLst>
        </xdr:cNvPr>
        <xdr:cNvSpPr/>
      </xdr:nvSpPr>
      <xdr:spPr>
        <a:xfrm>
          <a:off x="22412" y="1746437"/>
          <a:ext cx="1792941"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12</xdr:row>
      <xdr:rowOff>11206</xdr:rowOff>
    </xdr:from>
    <xdr:to>
      <xdr:col>9</xdr:col>
      <xdr:colOff>0</xdr:colOff>
      <xdr:row>14</xdr:row>
      <xdr:rowOff>11206</xdr:rowOff>
    </xdr:to>
    <xdr:sp macro="" textlink="">
      <xdr:nvSpPr>
        <xdr:cNvPr id="32" name="Rechteck: abgerundete Ecken 31">
          <a:extLst>
            <a:ext uri="{FF2B5EF4-FFF2-40B4-BE49-F238E27FC236}">
              <a16:creationId xmlns:a16="http://schemas.microsoft.com/office/drawing/2014/main" id="{DF5FC351-FA7E-4E6C-9584-B3073054EFE2}"/>
            </a:ext>
          </a:extLst>
        </xdr:cNvPr>
        <xdr:cNvSpPr/>
      </xdr:nvSpPr>
      <xdr:spPr>
        <a:xfrm>
          <a:off x="22412" y="2319618"/>
          <a:ext cx="1792941"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6</xdr:row>
      <xdr:rowOff>11206</xdr:rowOff>
    </xdr:from>
    <xdr:to>
      <xdr:col>9</xdr:col>
      <xdr:colOff>0</xdr:colOff>
      <xdr:row>8</xdr:row>
      <xdr:rowOff>11206</xdr:rowOff>
    </xdr:to>
    <xdr:sp macro="" textlink="">
      <xdr:nvSpPr>
        <xdr:cNvPr id="27" name="Rechteck: abgerundete Ecken 26">
          <a:extLst>
            <a:ext uri="{FF2B5EF4-FFF2-40B4-BE49-F238E27FC236}">
              <a16:creationId xmlns:a16="http://schemas.microsoft.com/office/drawing/2014/main" id="{70C6AFA6-F044-4C13-8113-C8DF8DBC6F13}"/>
            </a:ext>
          </a:extLst>
        </xdr:cNvPr>
        <xdr:cNvSpPr/>
      </xdr:nvSpPr>
      <xdr:spPr>
        <a:xfrm>
          <a:off x="22412" y="1176618"/>
          <a:ext cx="1792941"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6</xdr:row>
      <xdr:rowOff>24095</xdr:rowOff>
    </xdr:from>
    <xdr:to>
      <xdr:col>9</xdr:col>
      <xdr:colOff>0</xdr:colOff>
      <xdr:row>8</xdr:row>
      <xdr:rowOff>23593</xdr:rowOff>
    </xdr:to>
    <xdr:pic>
      <xdr:nvPicPr>
        <xdr:cNvPr id="28" name="Grafik 27">
          <a:hlinkClick xmlns:r="http://schemas.openxmlformats.org/officeDocument/2006/relationships" r:id="rId1"/>
          <a:extLst>
            <a:ext uri="{FF2B5EF4-FFF2-40B4-BE49-F238E27FC236}">
              <a16:creationId xmlns:a16="http://schemas.microsoft.com/office/drawing/2014/main" id="{66D33B28-2A32-4B54-B868-0CCE248B25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189507"/>
          <a:ext cx="1815352" cy="380498"/>
        </a:xfrm>
        <a:prstGeom prst="rect">
          <a:avLst/>
        </a:prstGeom>
      </xdr:spPr>
    </xdr:pic>
    <xdr:clientData/>
  </xdr:twoCellAnchor>
  <xdr:twoCellAnchor editAs="oneCell">
    <xdr:from>
      <xdr:col>0</xdr:col>
      <xdr:colOff>0</xdr:colOff>
      <xdr:row>9</xdr:row>
      <xdr:rowOff>9526</xdr:rowOff>
    </xdr:from>
    <xdr:to>
      <xdr:col>8</xdr:col>
      <xdr:colOff>190499</xdr:colOff>
      <xdr:row>10</xdr:row>
      <xdr:rowOff>180975</xdr:rowOff>
    </xdr:to>
    <xdr:pic>
      <xdr:nvPicPr>
        <xdr:cNvPr id="29" name="Grafik 28">
          <a:hlinkClick xmlns:r="http://schemas.openxmlformats.org/officeDocument/2006/relationships" r:id="rId3"/>
          <a:extLst>
            <a:ext uri="{FF2B5EF4-FFF2-40B4-BE49-F238E27FC236}">
              <a16:creationId xmlns:a16="http://schemas.microsoft.com/office/drawing/2014/main" id="{A6655C3F-1ECB-4EA2-8563-7FA9809E95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46438"/>
          <a:ext cx="1804146" cy="361949"/>
        </a:xfrm>
        <a:prstGeom prst="rect">
          <a:avLst/>
        </a:prstGeom>
      </xdr:spPr>
    </xdr:pic>
    <xdr:clientData/>
  </xdr:twoCellAnchor>
  <xdr:twoCellAnchor>
    <xdr:from>
      <xdr:col>0</xdr:col>
      <xdr:colOff>22412</xdr:colOff>
      <xdr:row>15</xdr:row>
      <xdr:rowOff>17382</xdr:rowOff>
    </xdr:from>
    <xdr:to>
      <xdr:col>9</xdr:col>
      <xdr:colOff>0</xdr:colOff>
      <xdr:row>17</xdr:row>
      <xdr:rowOff>17382</xdr:rowOff>
    </xdr:to>
    <xdr:sp macro="" textlink="">
      <xdr:nvSpPr>
        <xdr:cNvPr id="34" name="Rechteck: abgerundete Ecken 33">
          <a:extLst>
            <a:ext uri="{FF2B5EF4-FFF2-40B4-BE49-F238E27FC236}">
              <a16:creationId xmlns:a16="http://schemas.microsoft.com/office/drawing/2014/main" id="{523B06CB-C1C9-4C34-AD27-3858DDC54D14}"/>
            </a:ext>
          </a:extLst>
        </xdr:cNvPr>
        <xdr:cNvSpPr/>
      </xdr:nvSpPr>
      <xdr:spPr>
        <a:xfrm>
          <a:off x="22412" y="2897294"/>
          <a:ext cx="1792941"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22412</xdr:colOff>
      <xdr:row>12</xdr:row>
      <xdr:rowOff>9525</xdr:rowOff>
    </xdr:from>
    <xdr:to>
      <xdr:col>9</xdr:col>
      <xdr:colOff>11205</xdr:colOff>
      <xdr:row>13</xdr:row>
      <xdr:rowOff>180974</xdr:rowOff>
    </xdr:to>
    <xdr:pic>
      <xdr:nvPicPr>
        <xdr:cNvPr id="2" name="Grafik 1">
          <a:hlinkClick xmlns:r="http://schemas.openxmlformats.org/officeDocument/2006/relationships" r:id="rId4"/>
          <a:extLst>
            <a:ext uri="{FF2B5EF4-FFF2-40B4-BE49-F238E27FC236}">
              <a16:creationId xmlns:a16="http://schemas.microsoft.com/office/drawing/2014/main" id="{4583547D-B02F-3A27-7A6A-F2CF443996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2" y="2317937"/>
          <a:ext cx="1804146" cy="361949"/>
        </a:xfrm>
        <a:prstGeom prst="rect">
          <a:avLst/>
        </a:prstGeom>
      </xdr:spPr>
    </xdr:pic>
    <xdr:clientData/>
  </xdr:twoCellAnchor>
  <xdr:twoCellAnchor editAs="oneCell">
    <xdr:from>
      <xdr:col>0</xdr:col>
      <xdr:colOff>0</xdr:colOff>
      <xdr:row>15</xdr:row>
      <xdr:rowOff>20732</xdr:rowOff>
    </xdr:from>
    <xdr:to>
      <xdr:col>8</xdr:col>
      <xdr:colOff>190499</xdr:colOff>
      <xdr:row>17</xdr:row>
      <xdr:rowOff>1681</xdr:rowOff>
    </xdr:to>
    <xdr:pic>
      <xdr:nvPicPr>
        <xdr:cNvPr id="3" name="Grafik 2">
          <a:hlinkClick xmlns:r="http://schemas.openxmlformats.org/officeDocument/2006/relationships" r:id="rId5"/>
          <a:extLst>
            <a:ext uri="{FF2B5EF4-FFF2-40B4-BE49-F238E27FC236}">
              <a16:creationId xmlns:a16="http://schemas.microsoft.com/office/drawing/2014/main" id="{93F2525B-9B7E-A8A2-9CF1-26A43B5830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900644"/>
          <a:ext cx="1804146" cy="361949"/>
        </a:xfrm>
        <a:prstGeom prst="rect">
          <a:avLst/>
        </a:prstGeom>
      </xdr:spPr>
    </xdr:pic>
    <xdr:clientData/>
  </xdr:twoCellAnchor>
  <xdr:twoCellAnchor>
    <xdr:from>
      <xdr:col>0</xdr:col>
      <xdr:colOff>0</xdr:colOff>
      <xdr:row>18</xdr:row>
      <xdr:rowOff>9525</xdr:rowOff>
    </xdr:from>
    <xdr:to>
      <xdr:col>9</xdr:col>
      <xdr:colOff>19050</xdr:colOff>
      <xdr:row>20</xdr:row>
      <xdr:rowOff>9525</xdr:rowOff>
    </xdr:to>
    <xdr:sp macro="" textlink="">
      <xdr:nvSpPr>
        <xdr:cNvPr id="4" name="Rechteck: abgerundete Ecken 3">
          <a:extLst>
            <a:ext uri="{FF2B5EF4-FFF2-40B4-BE49-F238E27FC236}">
              <a16:creationId xmlns:a16="http://schemas.microsoft.com/office/drawing/2014/main" id="{0E86051F-690F-4705-AC06-6740EA8CA47B}"/>
            </a:ext>
          </a:extLst>
        </xdr:cNvPr>
        <xdr:cNvSpPr/>
      </xdr:nvSpPr>
      <xdr:spPr>
        <a:xfrm>
          <a:off x="0" y="3457575"/>
          <a:ext cx="1733550"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18</xdr:row>
      <xdr:rowOff>11207</xdr:rowOff>
    </xdr:from>
    <xdr:to>
      <xdr:col>9</xdr:col>
      <xdr:colOff>9524</xdr:colOff>
      <xdr:row>20</xdr:row>
      <xdr:rowOff>10705</xdr:rowOff>
    </xdr:to>
    <xdr:pic>
      <xdr:nvPicPr>
        <xdr:cNvPr id="5" name="Grafik 4">
          <a:hlinkClick xmlns:r="http://schemas.openxmlformats.org/officeDocument/2006/relationships" r:id="rId6"/>
          <a:extLst>
            <a:ext uri="{FF2B5EF4-FFF2-40B4-BE49-F238E27FC236}">
              <a16:creationId xmlns:a16="http://schemas.microsoft.com/office/drawing/2014/main" id="{092B4EC5-357D-488B-A222-C959A8D846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59257"/>
          <a:ext cx="1724024" cy="380498"/>
        </a:xfrm>
        <a:prstGeom prst="rect">
          <a:avLst/>
        </a:prstGeom>
      </xdr:spPr>
    </xdr:pic>
    <xdr:clientData/>
  </xdr:twoCellAnchor>
  <xdr:twoCellAnchor>
    <xdr:from>
      <xdr:col>0</xdr:col>
      <xdr:colOff>1</xdr:colOff>
      <xdr:row>0</xdr:row>
      <xdr:rowOff>0</xdr:rowOff>
    </xdr:from>
    <xdr:to>
      <xdr:col>18</xdr:col>
      <xdr:colOff>1</xdr:colOff>
      <xdr:row>3</xdr:row>
      <xdr:rowOff>0</xdr:rowOff>
    </xdr:to>
    <xdr:sp macro="" textlink="">
      <xdr:nvSpPr>
        <xdr:cNvPr id="6" name="Rechteck: obere Ecken abgerundet 5">
          <a:extLst>
            <a:ext uri="{FF2B5EF4-FFF2-40B4-BE49-F238E27FC236}">
              <a16:creationId xmlns:a16="http://schemas.microsoft.com/office/drawing/2014/main" id="{EDC66477-3025-4662-94E4-59116881FB19}"/>
            </a:ext>
          </a:extLst>
        </xdr:cNvPr>
        <xdr:cNvSpPr/>
      </xdr:nvSpPr>
      <xdr:spPr>
        <a:xfrm>
          <a:off x="1" y="0"/>
          <a:ext cx="8001000"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2" name="Rechteck: abgerundete Ecken 1">
          <a:extLst>
            <a:ext uri="{FF2B5EF4-FFF2-40B4-BE49-F238E27FC236}">
              <a16:creationId xmlns:a16="http://schemas.microsoft.com/office/drawing/2014/main" id="{9F1EB7FA-45D3-4E08-961D-158F80148880}"/>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19050</xdr:colOff>
      <xdr:row>9</xdr:row>
      <xdr:rowOff>1180</xdr:rowOff>
    </xdr:to>
    <xdr:pic>
      <xdr:nvPicPr>
        <xdr:cNvPr id="3" name="Grafik 2">
          <a:hlinkClick xmlns:r="http://schemas.openxmlformats.org/officeDocument/2006/relationships" r:id="rId1"/>
          <a:extLst>
            <a:ext uri="{FF2B5EF4-FFF2-40B4-BE49-F238E27FC236}">
              <a16:creationId xmlns:a16="http://schemas.microsoft.com/office/drawing/2014/main" id="{6D739C14-0AFA-4BC1-9518-25F29AB855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33549" cy="380498"/>
        </a:xfrm>
        <a:prstGeom prst="rect">
          <a:avLst/>
        </a:prstGeom>
      </xdr:spPr>
    </xdr:pic>
    <xdr:clientData/>
  </xdr:twoCellAnchor>
  <xdr:twoCellAnchor>
    <xdr:from>
      <xdr:col>0</xdr:col>
      <xdr:colOff>22412</xdr:colOff>
      <xdr:row>10</xdr:row>
      <xdr:rowOff>0</xdr:rowOff>
    </xdr:from>
    <xdr:to>
      <xdr:col>9</xdr:col>
      <xdr:colOff>0</xdr:colOff>
      <xdr:row>12</xdr:row>
      <xdr:rowOff>0</xdr:rowOff>
    </xdr:to>
    <xdr:sp macro="" textlink="">
      <xdr:nvSpPr>
        <xdr:cNvPr id="4" name="Rechteck: abgerundete Ecken 3">
          <a:extLst>
            <a:ext uri="{FF2B5EF4-FFF2-40B4-BE49-F238E27FC236}">
              <a16:creationId xmlns:a16="http://schemas.microsoft.com/office/drawing/2014/main" id="{F1DF4D99-3B9F-436E-BA99-3F19B1B479F6}"/>
            </a:ext>
          </a:extLst>
        </xdr:cNvPr>
        <xdr:cNvSpPr/>
      </xdr:nvSpPr>
      <xdr:spPr>
        <a:xfrm>
          <a:off x="22412" y="19240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13</xdr:row>
      <xdr:rowOff>9525</xdr:rowOff>
    </xdr:from>
    <xdr:to>
      <xdr:col>9</xdr:col>
      <xdr:colOff>0</xdr:colOff>
      <xdr:row>15</xdr:row>
      <xdr:rowOff>9525</xdr:rowOff>
    </xdr:to>
    <xdr:sp macro="" textlink="">
      <xdr:nvSpPr>
        <xdr:cNvPr id="5" name="Rechteck: abgerundete Ecken 4">
          <a:extLst>
            <a:ext uri="{FF2B5EF4-FFF2-40B4-BE49-F238E27FC236}">
              <a16:creationId xmlns:a16="http://schemas.microsoft.com/office/drawing/2014/main" id="{C43E867B-CF65-4CA8-B01A-526F19408E3D}"/>
            </a:ext>
          </a:extLst>
        </xdr:cNvPr>
        <xdr:cNvSpPr/>
      </xdr:nvSpPr>
      <xdr:spPr>
        <a:xfrm>
          <a:off x="22412" y="25050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16</xdr:row>
      <xdr:rowOff>9525</xdr:rowOff>
    </xdr:from>
    <xdr:to>
      <xdr:col>9</xdr:col>
      <xdr:colOff>0</xdr:colOff>
      <xdr:row>18</xdr:row>
      <xdr:rowOff>9525</xdr:rowOff>
    </xdr:to>
    <xdr:sp macro="" textlink="">
      <xdr:nvSpPr>
        <xdr:cNvPr id="6" name="Rechteck: abgerundete Ecken 5">
          <a:extLst>
            <a:ext uri="{FF2B5EF4-FFF2-40B4-BE49-F238E27FC236}">
              <a16:creationId xmlns:a16="http://schemas.microsoft.com/office/drawing/2014/main" id="{5B6FB1D3-AAC0-4BFE-B95C-47F860FAC3E4}"/>
            </a:ext>
          </a:extLst>
        </xdr:cNvPr>
        <xdr:cNvSpPr/>
      </xdr:nvSpPr>
      <xdr:spPr>
        <a:xfrm>
          <a:off x="22412" y="30765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19051</xdr:colOff>
      <xdr:row>10</xdr:row>
      <xdr:rowOff>11207</xdr:rowOff>
    </xdr:from>
    <xdr:to>
      <xdr:col>9</xdr:col>
      <xdr:colOff>38100</xdr:colOff>
      <xdr:row>12</xdr:row>
      <xdr:rowOff>10705</xdr:rowOff>
    </xdr:to>
    <xdr:pic>
      <xdr:nvPicPr>
        <xdr:cNvPr id="7" name="Grafik 6">
          <a:hlinkClick xmlns:r="http://schemas.openxmlformats.org/officeDocument/2006/relationships" r:id="rId3"/>
          <a:extLst>
            <a:ext uri="{FF2B5EF4-FFF2-40B4-BE49-F238E27FC236}">
              <a16:creationId xmlns:a16="http://schemas.microsoft.com/office/drawing/2014/main" id="{182B2306-7165-462E-97E2-7D3E8FD9D7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1" y="1935257"/>
          <a:ext cx="1733549" cy="380498"/>
        </a:xfrm>
        <a:prstGeom prst="rect">
          <a:avLst/>
        </a:prstGeom>
      </xdr:spPr>
    </xdr:pic>
    <xdr:clientData/>
  </xdr:twoCellAnchor>
  <xdr:twoCellAnchor editAs="oneCell">
    <xdr:from>
      <xdr:col>0</xdr:col>
      <xdr:colOff>0</xdr:colOff>
      <xdr:row>13</xdr:row>
      <xdr:rowOff>11207</xdr:rowOff>
    </xdr:from>
    <xdr:to>
      <xdr:col>9</xdr:col>
      <xdr:colOff>28575</xdr:colOff>
      <xdr:row>15</xdr:row>
      <xdr:rowOff>1180</xdr:rowOff>
    </xdr:to>
    <xdr:pic>
      <xdr:nvPicPr>
        <xdr:cNvPr id="8" name="Grafik 7">
          <a:hlinkClick xmlns:r="http://schemas.openxmlformats.org/officeDocument/2006/relationships" r:id="rId4"/>
          <a:extLst>
            <a:ext uri="{FF2B5EF4-FFF2-40B4-BE49-F238E27FC236}">
              <a16:creationId xmlns:a16="http://schemas.microsoft.com/office/drawing/2014/main" id="{86E60088-2157-4D81-84DE-05C5A1C8E0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06757"/>
          <a:ext cx="1743075" cy="380498"/>
        </a:xfrm>
        <a:prstGeom prst="rect">
          <a:avLst/>
        </a:prstGeom>
      </xdr:spPr>
    </xdr:pic>
    <xdr:clientData/>
  </xdr:twoCellAnchor>
  <xdr:twoCellAnchor editAs="oneCell">
    <xdr:from>
      <xdr:col>0</xdr:col>
      <xdr:colOff>0</xdr:colOff>
      <xdr:row>16</xdr:row>
      <xdr:rowOff>1682</xdr:rowOff>
    </xdr:from>
    <xdr:to>
      <xdr:col>9</xdr:col>
      <xdr:colOff>19050</xdr:colOff>
      <xdr:row>18</xdr:row>
      <xdr:rowOff>1180</xdr:rowOff>
    </xdr:to>
    <xdr:pic>
      <xdr:nvPicPr>
        <xdr:cNvPr id="9" name="Grafik 8">
          <a:hlinkClick xmlns:r="http://schemas.openxmlformats.org/officeDocument/2006/relationships" r:id="rId5"/>
          <a:extLst>
            <a:ext uri="{FF2B5EF4-FFF2-40B4-BE49-F238E27FC236}">
              <a16:creationId xmlns:a16="http://schemas.microsoft.com/office/drawing/2014/main" id="{EF7A9E2B-3306-4CDF-A364-CAEBE8070C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68732"/>
          <a:ext cx="1733550" cy="380498"/>
        </a:xfrm>
        <a:prstGeom prst="rect">
          <a:avLst/>
        </a:prstGeom>
      </xdr:spPr>
    </xdr:pic>
    <xdr:clientData/>
  </xdr:twoCellAnchor>
  <xdr:twoCellAnchor>
    <xdr:from>
      <xdr:col>0</xdr:col>
      <xdr:colOff>0</xdr:colOff>
      <xdr:row>19</xdr:row>
      <xdr:rowOff>0</xdr:rowOff>
    </xdr:from>
    <xdr:to>
      <xdr:col>9</xdr:col>
      <xdr:colOff>9524</xdr:colOff>
      <xdr:row>21</xdr:row>
      <xdr:rowOff>0</xdr:rowOff>
    </xdr:to>
    <xdr:sp macro="" textlink="">
      <xdr:nvSpPr>
        <xdr:cNvPr id="10" name="Rechteck: abgerundete Ecken 9">
          <a:extLst>
            <a:ext uri="{FF2B5EF4-FFF2-40B4-BE49-F238E27FC236}">
              <a16:creationId xmlns:a16="http://schemas.microsoft.com/office/drawing/2014/main" id="{D71735A2-033F-4804-88AF-AA23E5091687}"/>
            </a:ext>
          </a:extLst>
        </xdr:cNvPr>
        <xdr:cNvSpPr/>
      </xdr:nvSpPr>
      <xdr:spPr>
        <a:xfrm>
          <a:off x="0" y="3638550"/>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0</xdr:colOff>
      <xdr:row>22</xdr:row>
      <xdr:rowOff>9525</xdr:rowOff>
    </xdr:from>
    <xdr:to>
      <xdr:col>9</xdr:col>
      <xdr:colOff>19050</xdr:colOff>
      <xdr:row>24</xdr:row>
      <xdr:rowOff>9525</xdr:rowOff>
    </xdr:to>
    <xdr:sp macro="" textlink="">
      <xdr:nvSpPr>
        <xdr:cNvPr id="11" name="Rechteck: abgerundete Ecken 10">
          <a:extLst>
            <a:ext uri="{FF2B5EF4-FFF2-40B4-BE49-F238E27FC236}">
              <a16:creationId xmlns:a16="http://schemas.microsoft.com/office/drawing/2014/main" id="{852DFCDF-7220-4606-9F08-880E72E4D0ED}"/>
            </a:ext>
          </a:extLst>
        </xdr:cNvPr>
        <xdr:cNvSpPr/>
      </xdr:nvSpPr>
      <xdr:spPr>
        <a:xfrm>
          <a:off x="0" y="4219575"/>
          <a:ext cx="1733550"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22</xdr:row>
      <xdr:rowOff>11207</xdr:rowOff>
    </xdr:from>
    <xdr:to>
      <xdr:col>9</xdr:col>
      <xdr:colOff>28574</xdr:colOff>
      <xdr:row>24</xdr:row>
      <xdr:rowOff>10705</xdr:rowOff>
    </xdr:to>
    <xdr:pic>
      <xdr:nvPicPr>
        <xdr:cNvPr id="12" name="Grafik 11">
          <a:hlinkClick xmlns:r="http://schemas.openxmlformats.org/officeDocument/2006/relationships" r:id="rId6"/>
          <a:extLst>
            <a:ext uri="{FF2B5EF4-FFF2-40B4-BE49-F238E27FC236}">
              <a16:creationId xmlns:a16="http://schemas.microsoft.com/office/drawing/2014/main" id="{655778EE-6C91-A300-C2DD-EBB03235A9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21257"/>
          <a:ext cx="1743074" cy="380498"/>
        </a:xfrm>
        <a:prstGeom prst="rect">
          <a:avLst/>
        </a:prstGeom>
      </xdr:spPr>
    </xdr:pic>
    <xdr:clientData/>
  </xdr:twoCellAnchor>
  <xdr:twoCellAnchor>
    <xdr:from>
      <xdr:col>0</xdr:col>
      <xdr:colOff>47623</xdr:colOff>
      <xdr:row>34</xdr:row>
      <xdr:rowOff>76200</xdr:rowOff>
    </xdr:from>
    <xdr:to>
      <xdr:col>20</xdr:col>
      <xdr:colOff>247649</xdr:colOff>
      <xdr:row>55</xdr:row>
      <xdr:rowOff>123826</xdr:rowOff>
    </xdr:to>
    <xdr:graphicFrame macro="">
      <xdr:nvGraphicFramePr>
        <xdr:cNvPr id="13" name="Diagramm 12">
          <a:extLst>
            <a:ext uri="{FF2B5EF4-FFF2-40B4-BE49-F238E27FC236}">
              <a16:creationId xmlns:a16="http://schemas.microsoft.com/office/drawing/2014/main" id="{575F5170-21E0-483C-BED0-A9B72498C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0</xdr:row>
      <xdr:rowOff>1</xdr:rowOff>
    </xdr:from>
    <xdr:to>
      <xdr:col>18</xdr:col>
      <xdr:colOff>9525</xdr:colOff>
      <xdr:row>3</xdr:row>
      <xdr:rowOff>4537</xdr:rowOff>
    </xdr:to>
    <xdr:sp macro="" textlink="">
      <xdr:nvSpPr>
        <xdr:cNvPr id="14" name="Rechteck: obere Ecken abgerundet 13">
          <a:extLst>
            <a:ext uri="{FF2B5EF4-FFF2-40B4-BE49-F238E27FC236}">
              <a16:creationId xmlns:a16="http://schemas.microsoft.com/office/drawing/2014/main" id="{5A8F2859-C834-4DB8-A712-2248AD6B24B6}"/>
            </a:ext>
          </a:extLst>
        </xdr:cNvPr>
        <xdr:cNvSpPr/>
      </xdr:nvSpPr>
      <xdr:spPr>
        <a:xfrm>
          <a:off x="0" y="1"/>
          <a:ext cx="8114846" cy="576036"/>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twoCellAnchor editAs="oneCell">
    <xdr:from>
      <xdr:col>0</xdr:col>
      <xdr:colOff>0</xdr:colOff>
      <xdr:row>19</xdr:row>
      <xdr:rowOff>0</xdr:rowOff>
    </xdr:from>
    <xdr:to>
      <xdr:col>9</xdr:col>
      <xdr:colOff>19050</xdr:colOff>
      <xdr:row>20</xdr:row>
      <xdr:rowOff>189998</xdr:rowOff>
    </xdr:to>
    <xdr:pic>
      <xdr:nvPicPr>
        <xdr:cNvPr id="15" name="Grafik 14">
          <a:hlinkClick xmlns:r="http://schemas.openxmlformats.org/officeDocument/2006/relationships" r:id="rId8"/>
          <a:extLst>
            <a:ext uri="{FF2B5EF4-FFF2-40B4-BE49-F238E27FC236}">
              <a16:creationId xmlns:a16="http://schemas.microsoft.com/office/drawing/2014/main" id="{0A71E619-0F94-47FE-8C6F-B8A299600D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657600"/>
          <a:ext cx="1733550" cy="380498"/>
        </a:xfrm>
        <a:prstGeom prst="rect">
          <a:avLst/>
        </a:prstGeom>
      </xdr:spPr>
    </xdr:pic>
    <xdr:clientData/>
  </xdr:twoCellAnchor>
  <xdr:twoCellAnchor editAs="oneCell">
    <xdr:from>
      <xdr:col>1</xdr:col>
      <xdr:colOff>133350</xdr:colOff>
      <xdr:row>57</xdr:row>
      <xdr:rowOff>9525</xdr:rowOff>
    </xdr:from>
    <xdr:to>
      <xdr:col>8</xdr:col>
      <xdr:colOff>17352</xdr:colOff>
      <xdr:row>59</xdr:row>
      <xdr:rowOff>114300</xdr:rowOff>
    </xdr:to>
    <xdr:pic>
      <xdr:nvPicPr>
        <xdr:cNvPr id="16" name="Grafik 15">
          <a:extLst>
            <a:ext uri="{FF2B5EF4-FFF2-40B4-BE49-F238E27FC236}">
              <a16:creationId xmlns:a16="http://schemas.microsoft.com/office/drawing/2014/main" id="{344D4F57-EE25-4CFF-9112-CF7C3806FE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3850" y="10934700"/>
          <a:ext cx="1217502" cy="485775"/>
        </a:xfrm>
        <a:prstGeom prst="rect">
          <a:avLst/>
        </a:prstGeom>
      </xdr:spPr>
    </xdr:pic>
    <xdr:clientData/>
  </xdr:twoCellAnchor>
  <xdr:twoCellAnchor>
    <xdr:from>
      <xdr:col>1</xdr:col>
      <xdr:colOff>0</xdr:colOff>
      <xdr:row>56</xdr:row>
      <xdr:rowOff>85725</xdr:rowOff>
    </xdr:from>
    <xdr:to>
      <xdr:col>8</xdr:col>
      <xdr:colOff>161925</xdr:colOff>
      <xdr:row>62</xdr:row>
      <xdr:rowOff>95250</xdr:rowOff>
    </xdr:to>
    <xdr:sp macro="" textlink="">
      <xdr:nvSpPr>
        <xdr:cNvPr id="17" name="Rechteck: abgerundete Ecken 16">
          <a:extLst>
            <a:ext uri="{FF2B5EF4-FFF2-40B4-BE49-F238E27FC236}">
              <a16:creationId xmlns:a16="http://schemas.microsoft.com/office/drawing/2014/main" id="{FEBCBBFD-8B9C-400B-98EA-7F47E828FEF2}"/>
            </a:ext>
          </a:extLst>
        </xdr:cNvPr>
        <xdr:cNvSpPr/>
      </xdr:nvSpPr>
      <xdr:spPr>
        <a:xfrm>
          <a:off x="190500" y="10820400"/>
          <a:ext cx="1495425"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editAs="oneCell">
    <xdr:from>
      <xdr:col>1</xdr:col>
      <xdr:colOff>0</xdr:colOff>
      <xdr:row>56</xdr:row>
      <xdr:rowOff>104775</xdr:rowOff>
    </xdr:from>
    <xdr:to>
      <xdr:col>8</xdr:col>
      <xdr:colOff>152400</xdr:colOff>
      <xdr:row>62</xdr:row>
      <xdr:rowOff>96430</xdr:rowOff>
    </xdr:to>
    <xdr:pic>
      <xdr:nvPicPr>
        <xdr:cNvPr id="18" name="Grafik 17">
          <a:hlinkClick xmlns:r="http://schemas.openxmlformats.org/officeDocument/2006/relationships" r:id="rId10"/>
          <a:extLst>
            <a:ext uri="{FF2B5EF4-FFF2-40B4-BE49-F238E27FC236}">
              <a16:creationId xmlns:a16="http://schemas.microsoft.com/office/drawing/2014/main" id="{8965A19A-A968-46DC-A746-C7A301B07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10839450"/>
          <a:ext cx="1485900" cy="1134655"/>
        </a:xfrm>
        <a:prstGeom prst="rect">
          <a:avLst/>
        </a:prstGeom>
      </xdr:spPr>
    </xdr:pic>
    <xdr:clientData/>
  </xdr:twoCellAnchor>
  <xdr:twoCellAnchor>
    <xdr:from>
      <xdr:col>1</xdr:col>
      <xdr:colOff>0</xdr:colOff>
      <xdr:row>65</xdr:row>
      <xdr:rowOff>76200</xdr:rowOff>
    </xdr:from>
    <xdr:to>
      <xdr:col>8</xdr:col>
      <xdr:colOff>180975</xdr:colOff>
      <xdr:row>71</xdr:row>
      <xdr:rowOff>85725</xdr:rowOff>
    </xdr:to>
    <xdr:sp macro="" textlink="">
      <xdr:nvSpPr>
        <xdr:cNvPr id="19" name="Rechteck: abgerundete Ecken 18">
          <a:extLst>
            <a:ext uri="{FF2B5EF4-FFF2-40B4-BE49-F238E27FC236}">
              <a16:creationId xmlns:a16="http://schemas.microsoft.com/office/drawing/2014/main" id="{3A33D01A-FAD7-4743-BF57-9690F9CB1F71}"/>
            </a:ext>
          </a:extLst>
        </xdr:cNvPr>
        <xdr:cNvSpPr/>
      </xdr:nvSpPr>
      <xdr:spPr>
        <a:xfrm>
          <a:off x="190500" y="12525375"/>
          <a:ext cx="1514475"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editAs="oneCell">
    <xdr:from>
      <xdr:col>1</xdr:col>
      <xdr:colOff>126550</xdr:colOff>
      <xdr:row>66</xdr:row>
      <xdr:rowOff>9526</xdr:rowOff>
    </xdr:from>
    <xdr:to>
      <xdr:col>8</xdr:col>
      <xdr:colOff>65799</xdr:colOff>
      <xdr:row>68</xdr:row>
      <xdr:rowOff>133351</xdr:rowOff>
    </xdr:to>
    <xdr:pic>
      <xdr:nvPicPr>
        <xdr:cNvPr id="20" name="Grafik 19">
          <a:extLst>
            <a:ext uri="{FF2B5EF4-FFF2-40B4-BE49-F238E27FC236}">
              <a16:creationId xmlns:a16="http://schemas.microsoft.com/office/drawing/2014/main" id="{D1052477-E500-4675-A1F0-D924473836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flipH="1">
          <a:off x="317050" y="12649201"/>
          <a:ext cx="1272749" cy="504825"/>
        </a:xfrm>
        <a:prstGeom prst="rect">
          <a:avLst/>
        </a:prstGeom>
      </xdr:spPr>
    </xdr:pic>
    <xdr:clientData/>
  </xdr:twoCellAnchor>
  <xdr:twoCellAnchor editAs="oneCell">
    <xdr:from>
      <xdr:col>1</xdr:col>
      <xdr:colOff>19050</xdr:colOff>
      <xdr:row>65</xdr:row>
      <xdr:rowOff>85725</xdr:rowOff>
    </xdr:from>
    <xdr:to>
      <xdr:col>8</xdr:col>
      <xdr:colOff>171450</xdr:colOff>
      <xdr:row>71</xdr:row>
      <xdr:rowOff>77380</xdr:rowOff>
    </xdr:to>
    <xdr:pic>
      <xdr:nvPicPr>
        <xdr:cNvPr id="21" name="Grafik 20">
          <a:hlinkClick xmlns:r="http://schemas.openxmlformats.org/officeDocument/2006/relationships" r:id="rId12"/>
          <a:extLst>
            <a:ext uri="{FF2B5EF4-FFF2-40B4-BE49-F238E27FC236}">
              <a16:creationId xmlns:a16="http://schemas.microsoft.com/office/drawing/2014/main" id="{BB439A88-D4EC-414B-AFCE-099368F712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550" y="12534900"/>
          <a:ext cx="1485900" cy="1134655"/>
        </a:xfrm>
        <a:prstGeom prst="rect">
          <a:avLst/>
        </a:prstGeom>
      </xdr:spPr>
    </xdr:pic>
    <xdr:clientData/>
  </xdr:twoCellAnchor>
  <xdr:twoCellAnchor>
    <xdr:from>
      <xdr:col>1</xdr:col>
      <xdr:colOff>19050</xdr:colOff>
      <xdr:row>74</xdr:row>
      <xdr:rowOff>85725</xdr:rowOff>
    </xdr:from>
    <xdr:to>
      <xdr:col>8</xdr:col>
      <xdr:colOff>171450</xdr:colOff>
      <xdr:row>80</xdr:row>
      <xdr:rowOff>95250</xdr:rowOff>
    </xdr:to>
    <xdr:sp macro="" textlink="">
      <xdr:nvSpPr>
        <xdr:cNvPr id="22" name="Rechteck: abgerundete Ecken 21">
          <a:extLst>
            <a:ext uri="{FF2B5EF4-FFF2-40B4-BE49-F238E27FC236}">
              <a16:creationId xmlns:a16="http://schemas.microsoft.com/office/drawing/2014/main" id="{E4714384-21D5-4581-A4D6-46F86D04CE2D}"/>
            </a:ext>
          </a:extLst>
        </xdr:cNvPr>
        <xdr:cNvSpPr/>
      </xdr:nvSpPr>
      <xdr:spPr>
        <a:xfrm>
          <a:off x="209550" y="14249400"/>
          <a:ext cx="1485900"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editAs="oneCell">
    <xdr:from>
      <xdr:col>1</xdr:col>
      <xdr:colOff>96961</xdr:colOff>
      <xdr:row>75</xdr:row>
      <xdr:rowOff>2</xdr:rowOff>
    </xdr:from>
    <xdr:to>
      <xdr:col>8</xdr:col>
      <xdr:colOff>85725</xdr:colOff>
      <xdr:row>77</xdr:row>
      <xdr:rowOff>133352</xdr:rowOff>
    </xdr:to>
    <xdr:pic>
      <xdr:nvPicPr>
        <xdr:cNvPr id="23" name="Grafik 22">
          <a:extLst>
            <a:ext uri="{FF2B5EF4-FFF2-40B4-BE49-F238E27FC236}">
              <a16:creationId xmlns:a16="http://schemas.microsoft.com/office/drawing/2014/main" id="{89C9437A-0725-4B84-96DE-7CE73EE1193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7461" y="14354177"/>
          <a:ext cx="1322264" cy="514350"/>
        </a:xfrm>
        <a:prstGeom prst="rect">
          <a:avLst/>
        </a:prstGeom>
      </xdr:spPr>
    </xdr:pic>
    <xdr:clientData/>
  </xdr:twoCellAnchor>
  <xdr:twoCellAnchor editAs="oneCell">
    <xdr:from>
      <xdr:col>1</xdr:col>
      <xdr:colOff>19050</xdr:colOff>
      <xdr:row>74</xdr:row>
      <xdr:rowOff>104775</xdr:rowOff>
    </xdr:from>
    <xdr:to>
      <xdr:col>8</xdr:col>
      <xdr:colOff>171450</xdr:colOff>
      <xdr:row>80</xdr:row>
      <xdr:rowOff>96430</xdr:rowOff>
    </xdr:to>
    <xdr:pic>
      <xdr:nvPicPr>
        <xdr:cNvPr id="24" name="Grafik 23">
          <a:hlinkClick xmlns:r="http://schemas.openxmlformats.org/officeDocument/2006/relationships" r:id="rId12"/>
          <a:extLst>
            <a:ext uri="{FF2B5EF4-FFF2-40B4-BE49-F238E27FC236}">
              <a16:creationId xmlns:a16="http://schemas.microsoft.com/office/drawing/2014/main" id="{EADC77F8-FC27-7FEB-C733-E38B2A9BD6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550" y="14268450"/>
          <a:ext cx="1485900" cy="1134655"/>
        </a:xfrm>
        <a:prstGeom prst="rect">
          <a:avLst/>
        </a:prstGeom>
      </xdr:spPr>
    </xdr:pic>
    <xdr:clientData/>
  </xdr:twoCellAnchor>
  <xdr:twoCellAnchor>
    <xdr:from>
      <xdr:col>1</xdr:col>
      <xdr:colOff>0</xdr:colOff>
      <xdr:row>83</xdr:row>
      <xdr:rowOff>76200</xdr:rowOff>
    </xdr:from>
    <xdr:to>
      <xdr:col>8</xdr:col>
      <xdr:colOff>161925</xdr:colOff>
      <xdr:row>89</xdr:row>
      <xdr:rowOff>85725</xdr:rowOff>
    </xdr:to>
    <xdr:sp macro="" textlink="">
      <xdr:nvSpPr>
        <xdr:cNvPr id="25" name="Rechteck: abgerundete Ecken 24">
          <a:extLst>
            <a:ext uri="{FF2B5EF4-FFF2-40B4-BE49-F238E27FC236}">
              <a16:creationId xmlns:a16="http://schemas.microsoft.com/office/drawing/2014/main" id="{4F794F6B-35B0-4056-A6B7-C2245727E2C2}"/>
            </a:ext>
          </a:extLst>
        </xdr:cNvPr>
        <xdr:cNvSpPr/>
      </xdr:nvSpPr>
      <xdr:spPr>
        <a:xfrm>
          <a:off x="190500" y="15954375"/>
          <a:ext cx="1495425"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editAs="oneCell">
    <xdr:from>
      <xdr:col>1</xdr:col>
      <xdr:colOff>66675</xdr:colOff>
      <xdr:row>83</xdr:row>
      <xdr:rowOff>152401</xdr:rowOff>
    </xdr:from>
    <xdr:to>
      <xdr:col>8</xdr:col>
      <xdr:colOff>85725</xdr:colOff>
      <xdr:row>86</xdr:row>
      <xdr:rowOff>161926</xdr:rowOff>
    </xdr:to>
    <xdr:pic>
      <xdr:nvPicPr>
        <xdr:cNvPr id="26" name="Grafik 25">
          <a:extLst>
            <a:ext uri="{FF2B5EF4-FFF2-40B4-BE49-F238E27FC236}">
              <a16:creationId xmlns:a16="http://schemas.microsoft.com/office/drawing/2014/main" id="{C8EA8272-7748-4754-B85B-1EA96D6EFC2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7175" y="16030576"/>
          <a:ext cx="1352550" cy="581025"/>
        </a:xfrm>
        <a:prstGeom prst="rect">
          <a:avLst/>
        </a:prstGeom>
      </xdr:spPr>
    </xdr:pic>
    <xdr:clientData/>
  </xdr:twoCellAnchor>
  <xdr:twoCellAnchor editAs="oneCell">
    <xdr:from>
      <xdr:col>1</xdr:col>
      <xdr:colOff>0</xdr:colOff>
      <xdr:row>83</xdr:row>
      <xdr:rowOff>95250</xdr:rowOff>
    </xdr:from>
    <xdr:to>
      <xdr:col>8</xdr:col>
      <xdr:colOff>152400</xdr:colOff>
      <xdr:row>89</xdr:row>
      <xdr:rowOff>86905</xdr:rowOff>
    </xdr:to>
    <xdr:pic>
      <xdr:nvPicPr>
        <xdr:cNvPr id="27" name="Grafik 26">
          <a:hlinkClick xmlns:r="http://schemas.openxmlformats.org/officeDocument/2006/relationships" r:id="rId15"/>
          <a:extLst>
            <a:ext uri="{FF2B5EF4-FFF2-40B4-BE49-F238E27FC236}">
              <a16:creationId xmlns:a16="http://schemas.microsoft.com/office/drawing/2014/main" id="{21A60637-B6F2-41DA-81D1-7E45DF4286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15973425"/>
          <a:ext cx="1485900" cy="1134655"/>
        </a:xfrm>
        <a:prstGeom prst="rect">
          <a:avLst/>
        </a:prstGeom>
      </xdr:spPr>
    </xdr:pic>
    <xdr:clientData/>
  </xdr:twoCellAnchor>
  <xdr:twoCellAnchor>
    <xdr:from>
      <xdr:col>1</xdr:col>
      <xdr:colOff>28575</xdr:colOff>
      <xdr:row>92</xdr:row>
      <xdr:rowOff>76200</xdr:rowOff>
    </xdr:from>
    <xdr:to>
      <xdr:col>8</xdr:col>
      <xdr:colOff>152400</xdr:colOff>
      <xdr:row>98</xdr:row>
      <xdr:rowOff>85725</xdr:rowOff>
    </xdr:to>
    <xdr:sp macro="" textlink="">
      <xdr:nvSpPr>
        <xdr:cNvPr id="28" name="Rechteck: abgerundete Ecken 27">
          <a:extLst>
            <a:ext uri="{FF2B5EF4-FFF2-40B4-BE49-F238E27FC236}">
              <a16:creationId xmlns:a16="http://schemas.microsoft.com/office/drawing/2014/main" id="{24CCD206-7347-482F-8642-A06905E06631}"/>
            </a:ext>
          </a:extLst>
        </xdr:cNvPr>
        <xdr:cNvSpPr/>
      </xdr:nvSpPr>
      <xdr:spPr>
        <a:xfrm>
          <a:off x="219075" y="17668875"/>
          <a:ext cx="1457325"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editAs="oneCell">
    <xdr:from>
      <xdr:col>1</xdr:col>
      <xdr:colOff>76199</xdr:colOff>
      <xdr:row>93</xdr:row>
      <xdr:rowOff>1</xdr:rowOff>
    </xdr:from>
    <xdr:to>
      <xdr:col>8</xdr:col>
      <xdr:colOff>95250</xdr:colOff>
      <xdr:row>95</xdr:row>
      <xdr:rowOff>121902</xdr:rowOff>
    </xdr:to>
    <xdr:pic>
      <xdr:nvPicPr>
        <xdr:cNvPr id="29" name="Grafik 28">
          <a:extLst>
            <a:ext uri="{FF2B5EF4-FFF2-40B4-BE49-F238E27FC236}">
              <a16:creationId xmlns:a16="http://schemas.microsoft.com/office/drawing/2014/main" id="{B9470A06-4C31-40B8-B77B-77764A07C70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66699" y="17783176"/>
          <a:ext cx="1352551" cy="502901"/>
        </a:xfrm>
        <a:prstGeom prst="rect">
          <a:avLst/>
        </a:prstGeom>
      </xdr:spPr>
    </xdr:pic>
    <xdr:clientData/>
  </xdr:twoCellAnchor>
  <xdr:twoCellAnchor editAs="oneCell">
    <xdr:from>
      <xdr:col>1</xdr:col>
      <xdr:colOff>19050</xdr:colOff>
      <xdr:row>92</xdr:row>
      <xdr:rowOff>95250</xdr:rowOff>
    </xdr:from>
    <xdr:to>
      <xdr:col>8</xdr:col>
      <xdr:colOff>171450</xdr:colOff>
      <xdr:row>98</xdr:row>
      <xdr:rowOff>86905</xdr:rowOff>
    </xdr:to>
    <xdr:pic>
      <xdr:nvPicPr>
        <xdr:cNvPr id="30" name="Grafik 29">
          <a:hlinkClick xmlns:r="http://schemas.openxmlformats.org/officeDocument/2006/relationships" r:id="rId17"/>
          <a:extLst>
            <a:ext uri="{FF2B5EF4-FFF2-40B4-BE49-F238E27FC236}">
              <a16:creationId xmlns:a16="http://schemas.microsoft.com/office/drawing/2014/main" id="{2063D9E4-7E86-10EC-7FF8-726AFA001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550" y="17687925"/>
          <a:ext cx="1485900" cy="1134655"/>
        </a:xfrm>
        <a:prstGeom prst="rect">
          <a:avLst/>
        </a:prstGeom>
      </xdr:spPr>
    </xdr:pic>
    <xdr:clientData/>
  </xdr:twoCellAnchor>
  <xdr:twoCellAnchor>
    <xdr:from>
      <xdr:col>1</xdr:col>
      <xdr:colOff>19050</xdr:colOff>
      <xdr:row>101</xdr:row>
      <xdr:rowOff>85725</xdr:rowOff>
    </xdr:from>
    <xdr:to>
      <xdr:col>8</xdr:col>
      <xdr:colOff>171450</xdr:colOff>
      <xdr:row>107</xdr:row>
      <xdr:rowOff>95250</xdr:rowOff>
    </xdr:to>
    <xdr:sp macro="" textlink="">
      <xdr:nvSpPr>
        <xdr:cNvPr id="31" name="Rechteck: abgerundete Ecken 30">
          <a:extLst>
            <a:ext uri="{FF2B5EF4-FFF2-40B4-BE49-F238E27FC236}">
              <a16:creationId xmlns:a16="http://schemas.microsoft.com/office/drawing/2014/main" id="{1CFFE83B-1CB0-4B6F-AEAA-451E2B14FDD5}"/>
            </a:ext>
          </a:extLst>
        </xdr:cNvPr>
        <xdr:cNvSpPr/>
      </xdr:nvSpPr>
      <xdr:spPr>
        <a:xfrm>
          <a:off x="209550" y="19392900"/>
          <a:ext cx="1485900"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editAs="oneCell">
    <xdr:from>
      <xdr:col>1</xdr:col>
      <xdr:colOff>100692</xdr:colOff>
      <xdr:row>101</xdr:row>
      <xdr:rowOff>161926</xdr:rowOff>
    </xdr:from>
    <xdr:to>
      <xdr:col>8</xdr:col>
      <xdr:colOff>114299</xdr:colOff>
      <xdr:row>104</xdr:row>
      <xdr:rowOff>123826</xdr:rowOff>
    </xdr:to>
    <xdr:pic>
      <xdr:nvPicPr>
        <xdr:cNvPr id="32" name="Grafik 31">
          <a:extLst>
            <a:ext uri="{FF2B5EF4-FFF2-40B4-BE49-F238E27FC236}">
              <a16:creationId xmlns:a16="http://schemas.microsoft.com/office/drawing/2014/main" id="{54495A3C-50F6-42B5-B4BF-A986B7C77CC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91192" y="19469101"/>
          <a:ext cx="1347107" cy="533400"/>
        </a:xfrm>
        <a:prstGeom prst="rect">
          <a:avLst/>
        </a:prstGeom>
      </xdr:spPr>
    </xdr:pic>
    <xdr:clientData/>
  </xdr:twoCellAnchor>
  <xdr:twoCellAnchor editAs="oneCell">
    <xdr:from>
      <xdr:col>1</xdr:col>
      <xdr:colOff>19050</xdr:colOff>
      <xdr:row>101</xdr:row>
      <xdr:rowOff>95250</xdr:rowOff>
    </xdr:from>
    <xdr:to>
      <xdr:col>8</xdr:col>
      <xdr:colOff>171450</xdr:colOff>
      <xdr:row>107</xdr:row>
      <xdr:rowOff>86905</xdr:rowOff>
    </xdr:to>
    <xdr:pic>
      <xdr:nvPicPr>
        <xdr:cNvPr id="33" name="Grafik 32">
          <a:hlinkClick xmlns:r="http://schemas.openxmlformats.org/officeDocument/2006/relationships" r:id="rId19"/>
          <a:extLst>
            <a:ext uri="{FF2B5EF4-FFF2-40B4-BE49-F238E27FC236}">
              <a16:creationId xmlns:a16="http://schemas.microsoft.com/office/drawing/2014/main" id="{A32E773E-E07A-FFC3-9579-C507DE63FD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550" y="19402425"/>
          <a:ext cx="1485900" cy="11346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12887</xdr:colOff>
      <xdr:row>7</xdr:row>
      <xdr:rowOff>19050</xdr:rowOff>
    </xdr:from>
    <xdr:to>
      <xdr:col>8</xdr:col>
      <xdr:colOff>180975</xdr:colOff>
      <xdr:row>9</xdr:row>
      <xdr:rowOff>19050</xdr:rowOff>
    </xdr:to>
    <xdr:sp macro="" textlink="">
      <xdr:nvSpPr>
        <xdr:cNvPr id="3" name="Rechteck: abgerundete Ecken 2">
          <a:extLst>
            <a:ext uri="{FF2B5EF4-FFF2-40B4-BE49-F238E27FC236}">
              <a16:creationId xmlns:a16="http://schemas.microsoft.com/office/drawing/2014/main" id="{4DB68352-645D-48EF-B11C-1B7A10B342F0}"/>
            </a:ext>
          </a:extLst>
        </xdr:cNvPr>
        <xdr:cNvSpPr/>
      </xdr:nvSpPr>
      <xdr:spPr>
        <a:xfrm>
          <a:off x="12887" y="137160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20732</xdr:rowOff>
    </xdr:from>
    <xdr:to>
      <xdr:col>8</xdr:col>
      <xdr:colOff>161925</xdr:colOff>
      <xdr:row>9</xdr:row>
      <xdr:rowOff>20230</xdr:rowOff>
    </xdr:to>
    <xdr:pic>
      <xdr:nvPicPr>
        <xdr:cNvPr id="4" name="Grafik 3">
          <a:hlinkClick xmlns:r="http://schemas.openxmlformats.org/officeDocument/2006/relationships" r:id="rId1"/>
          <a:extLst>
            <a:ext uri="{FF2B5EF4-FFF2-40B4-BE49-F238E27FC236}">
              <a16:creationId xmlns:a16="http://schemas.microsoft.com/office/drawing/2014/main" id="{0820AB9B-86B9-48D6-89D7-F1721085A2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73282"/>
          <a:ext cx="1685924" cy="380498"/>
        </a:xfrm>
        <a:prstGeom prst="rect">
          <a:avLst/>
        </a:prstGeom>
      </xdr:spPr>
    </xdr:pic>
    <xdr:clientData/>
  </xdr:twoCellAnchor>
  <xdr:twoCellAnchor>
    <xdr:from>
      <xdr:col>0</xdr:col>
      <xdr:colOff>12887</xdr:colOff>
      <xdr:row>10</xdr:row>
      <xdr:rowOff>9525</xdr:rowOff>
    </xdr:from>
    <xdr:to>
      <xdr:col>8</xdr:col>
      <xdr:colOff>180975</xdr:colOff>
      <xdr:row>12</xdr:row>
      <xdr:rowOff>9525</xdr:rowOff>
    </xdr:to>
    <xdr:sp macro="" textlink="">
      <xdr:nvSpPr>
        <xdr:cNvPr id="6" name="Rechteck: abgerundete Ecken 5">
          <a:extLst>
            <a:ext uri="{FF2B5EF4-FFF2-40B4-BE49-F238E27FC236}">
              <a16:creationId xmlns:a16="http://schemas.microsoft.com/office/drawing/2014/main" id="{D1B91397-915E-4522-89D6-1B00AA825EF1}"/>
            </a:ext>
          </a:extLst>
        </xdr:cNvPr>
        <xdr:cNvSpPr/>
      </xdr:nvSpPr>
      <xdr:spPr>
        <a:xfrm>
          <a:off x="12887" y="19335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13</xdr:row>
      <xdr:rowOff>9525</xdr:rowOff>
    </xdr:from>
    <xdr:to>
      <xdr:col>9</xdr:col>
      <xdr:colOff>0</xdr:colOff>
      <xdr:row>15</xdr:row>
      <xdr:rowOff>9525</xdr:rowOff>
    </xdr:to>
    <xdr:sp macro="" textlink="">
      <xdr:nvSpPr>
        <xdr:cNvPr id="8" name="Rechteck: abgerundete Ecken 7">
          <a:extLst>
            <a:ext uri="{FF2B5EF4-FFF2-40B4-BE49-F238E27FC236}">
              <a16:creationId xmlns:a16="http://schemas.microsoft.com/office/drawing/2014/main" id="{50488936-CC72-4B95-94EB-FEA836FFE350}"/>
            </a:ext>
          </a:extLst>
        </xdr:cNvPr>
        <xdr:cNvSpPr/>
      </xdr:nvSpPr>
      <xdr:spPr>
        <a:xfrm>
          <a:off x="22412" y="25050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16</xdr:row>
      <xdr:rowOff>9525</xdr:rowOff>
    </xdr:from>
    <xdr:to>
      <xdr:col>9</xdr:col>
      <xdr:colOff>0</xdr:colOff>
      <xdr:row>18</xdr:row>
      <xdr:rowOff>9525</xdr:rowOff>
    </xdr:to>
    <xdr:sp macro="" textlink="">
      <xdr:nvSpPr>
        <xdr:cNvPr id="10" name="Rechteck: abgerundete Ecken 9">
          <a:extLst>
            <a:ext uri="{FF2B5EF4-FFF2-40B4-BE49-F238E27FC236}">
              <a16:creationId xmlns:a16="http://schemas.microsoft.com/office/drawing/2014/main" id="{3C1EDF83-6CB4-4E3D-945D-4B6F57089579}"/>
            </a:ext>
          </a:extLst>
        </xdr:cNvPr>
        <xdr:cNvSpPr/>
      </xdr:nvSpPr>
      <xdr:spPr>
        <a:xfrm>
          <a:off x="22412" y="30765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19051</xdr:colOff>
      <xdr:row>10</xdr:row>
      <xdr:rowOff>11207</xdr:rowOff>
    </xdr:from>
    <xdr:to>
      <xdr:col>8</xdr:col>
      <xdr:colOff>171450</xdr:colOff>
      <xdr:row>12</xdr:row>
      <xdr:rowOff>10705</xdr:rowOff>
    </xdr:to>
    <xdr:pic>
      <xdr:nvPicPr>
        <xdr:cNvPr id="11" name="Grafik 10">
          <a:hlinkClick xmlns:r="http://schemas.openxmlformats.org/officeDocument/2006/relationships" r:id="rId3"/>
          <a:extLst>
            <a:ext uri="{FF2B5EF4-FFF2-40B4-BE49-F238E27FC236}">
              <a16:creationId xmlns:a16="http://schemas.microsoft.com/office/drawing/2014/main" id="{3CC3A98A-D5AC-4501-9F70-6CB6E14B65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1" y="1935257"/>
          <a:ext cx="1676399" cy="380498"/>
        </a:xfrm>
        <a:prstGeom prst="rect">
          <a:avLst/>
        </a:prstGeom>
      </xdr:spPr>
    </xdr:pic>
    <xdr:clientData/>
  </xdr:twoCellAnchor>
  <xdr:twoCellAnchor editAs="oneCell">
    <xdr:from>
      <xdr:col>0</xdr:col>
      <xdr:colOff>0</xdr:colOff>
      <xdr:row>13</xdr:row>
      <xdr:rowOff>11207</xdr:rowOff>
    </xdr:from>
    <xdr:to>
      <xdr:col>9</xdr:col>
      <xdr:colOff>0</xdr:colOff>
      <xdr:row>15</xdr:row>
      <xdr:rowOff>10705</xdr:rowOff>
    </xdr:to>
    <xdr:pic>
      <xdr:nvPicPr>
        <xdr:cNvPr id="12" name="Grafik 11">
          <a:hlinkClick xmlns:r="http://schemas.openxmlformats.org/officeDocument/2006/relationships" r:id="rId4"/>
          <a:extLst>
            <a:ext uri="{FF2B5EF4-FFF2-40B4-BE49-F238E27FC236}">
              <a16:creationId xmlns:a16="http://schemas.microsoft.com/office/drawing/2014/main" id="{FC588647-255D-4DFB-8538-5D09CB9F4D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06757"/>
          <a:ext cx="1714500" cy="380498"/>
        </a:xfrm>
        <a:prstGeom prst="rect">
          <a:avLst/>
        </a:prstGeom>
      </xdr:spPr>
    </xdr:pic>
    <xdr:clientData/>
  </xdr:twoCellAnchor>
  <xdr:twoCellAnchor editAs="oneCell">
    <xdr:from>
      <xdr:col>0</xdr:col>
      <xdr:colOff>0</xdr:colOff>
      <xdr:row>16</xdr:row>
      <xdr:rowOff>11207</xdr:rowOff>
    </xdr:from>
    <xdr:to>
      <xdr:col>9</xdr:col>
      <xdr:colOff>85724</xdr:colOff>
      <xdr:row>18</xdr:row>
      <xdr:rowOff>10705</xdr:rowOff>
    </xdr:to>
    <xdr:pic>
      <xdr:nvPicPr>
        <xdr:cNvPr id="13" name="Grafik 12">
          <a:hlinkClick xmlns:r="http://schemas.openxmlformats.org/officeDocument/2006/relationships" r:id="rId5"/>
          <a:extLst>
            <a:ext uri="{FF2B5EF4-FFF2-40B4-BE49-F238E27FC236}">
              <a16:creationId xmlns:a16="http://schemas.microsoft.com/office/drawing/2014/main" id="{A6366F21-BFA0-4E30-B7B9-2EF5C18324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78257"/>
          <a:ext cx="1800224" cy="380498"/>
        </a:xfrm>
        <a:prstGeom prst="rect">
          <a:avLst/>
        </a:prstGeom>
      </xdr:spPr>
    </xdr:pic>
    <xdr:clientData/>
  </xdr:twoCellAnchor>
  <xdr:twoCellAnchor>
    <xdr:from>
      <xdr:col>15</xdr:col>
      <xdr:colOff>0</xdr:colOff>
      <xdr:row>17</xdr:row>
      <xdr:rowOff>0</xdr:rowOff>
    </xdr:from>
    <xdr:to>
      <xdr:col>16</xdr:col>
      <xdr:colOff>19050</xdr:colOff>
      <xdr:row>19</xdr:row>
      <xdr:rowOff>0</xdr:rowOff>
    </xdr:to>
    <xdr:sp macro="" textlink="">
      <xdr:nvSpPr>
        <xdr:cNvPr id="14" name="Rechteck: abgerundete Ecken 13">
          <a:extLst>
            <a:ext uri="{FF2B5EF4-FFF2-40B4-BE49-F238E27FC236}">
              <a16:creationId xmlns:a16="http://schemas.microsoft.com/office/drawing/2014/main" id="{B8B24388-985B-4089-9EF1-0DB7017B0FAD}"/>
            </a:ext>
          </a:extLst>
        </xdr:cNvPr>
        <xdr:cNvSpPr/>
      </xdr:nvSpPr>
      <xdr:spPr>
        <a:xfrm>
          <a:off x="4657725" y="3257550"/>
          <a:ext cx="1924050"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14</xdr:col>
      <xdr:colOff>761999</xdr:colOff>
      <xdr:row>17</xdr:row>
      <xdr:rowOff>0</xdr:rowOff>
    </xdr:from>
    <xdr:to>
      <xdr:col>16</xdr:col>
      <xdr:colOff>9524</xdr:colOff>
      <xdr:row>18</xdr:row>
      <xdr:rowOff>189998</xdr:rowOff>
    </xdr:to>
    <xdr:pic>
      <xdr:nvPicPr>
        <xdr:cNvPr id="15" name="Grafik 14">
          <a:hlinkClick xmlns:r="http://schemas.openxmlformats.org/officeDocument/2006/relationships" r:id="rId6"/>
          <a:extLst>
            <a:ext uri="{FF2B5EF4-FFF2-40B4-BE49-F238E27FC236}">
              <a16:creationId xmlns:a16="http://schemas.microsoft.com/office/drawing/2014/main" id="{8C8CE585-14EF-450C-B65B-59B2D38576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57724" y="3257550"/>
          <a:ext cx="1914525" cy="380498"/>
        </a:xfrm>
        <a:prstGeom prst="rect">
          <a:avLst/>
        </a:prstGeom>
      </xdr:spPr>
    </xdr:pic>
    <xdr:clientData/>
  </xdr:twoCellAnchor>
  <xdr:twoCellAnchor>
    <xdr:from>
      <xdr:col>0</xdr:col>
      <xdr:colOff>0</xdr:colOff>
      <xdr:row>0</xdr:row>
      <xdr:rowOff>0</xdr:rowOff>
    </xdr:from>
    <xdr:to>
      <xdr:col>18</xdr:col>
      <xdr:colOff>8004</xdr:colOff>
      <xdr:row>3</xdr:row>
      <xdr:rowOff>0</xdr:rowOff>
    </xdr:to>
    <xdr:sp macro="" textlink="">
      <xdr:nvSpPr>
        <xdr:cNvPr id="5" name="Rechteck: obere Ecken abgerundet 4">
          <a:extLst>
            <a:ext uri="{FF2B5EF4-FFF2-40B4-BE49-F238E27FC236}">
              <a16:creationId xmlns:a16="http://schemas.microsoft.com/office/drawing/2014/main" id="{B1328ADA-7E6F-45AD-8CE7-C005EC78B9BF}"/>
            </a:ext>
          </a:extLst>
        </xdr:cNvPr>
        <xdr:cNvSpPr/>
      </xdr:nvSpPr>
      <xdr:spPr>
        <a:xfrm>
          <a:off x="0" y="0"/>
          <a:ext cx="8094729"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3" name="Rechteck: abgerundete Ecken 2">
          <a:extLst>
            <a:ext uri="{FF2B5EF4-FFF2-40B4-BE49-F238E27FC236}">
              <a16:creationId xmlns:a16="http://schemas.microsoft.com/office/drawing/2014/main" id="{F7F933D1-448A-48FF-8E95-B8958080C20A}"/>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8</xdr:col>
      <xdr:colOff>189046</xdr:colOff>
      <xdr:row>9</xdr:row>
      <xdr:rowOff>1180</xdr:rowOff>
    </xdr:to>
    <xdr:pic>
      <xdr:nvPicPr>
        <xdr:cNvPr id="9" name="Grafik 8">
          <a:hlinkClick xmlns:r="http://schemas.openxmlformats.org/officeDocument/2006/relationships" r:id="rId1"/>
          <a:extLst>
            <a:ext uri="{FF2B5EF4-FFF2-40B4-BE49-F238E27FC236}">
              <a16:creationId xmlns:a16="http://schemas.microsoft.com/office/drawing/2014/main" id="{E32C35FD-C21A-42BC-B377-EF1115EB53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14499" cy="380498"/>
        </a:xfrm>
        <a:prstGeom prst="rect">
          <a:avLst/>
        </a:prstGeom>
      </xdr:spPr>
    </xdr:pic>
    <xdr:clientData/>
  </xdr:twoCellAnchor>
  <xdr:twoCellAnchor editAs="oneCell">
    <xdr:from>
      <xdr:col>0</xdr:col>
      <xdr:colOff>0</xdr:colOff>
      <xdr:row>10</xdr:row>
      <xdr:rowOff>9526</xdr:rowOff>
    </xdr:from>
    <xdr:to>
      <xdr:col>9</xdr:col>
      <xdr:colOff>1453</xdr:colOff>
      <xdr:row>11</xdr:row>
      <xdr:rowOff>180975</xdr:rowOff>
    </xdr:to>
    <xdr:pic>
      <xdr:nvPicPr>
        <xdr:cNvPr id="10" name="Grafik 9">
          <a:hlinkClick xmlns:r="http://schemas.openxmlformats.org/officeDocument/2006/relationships" r:id="rId3"/>
          <a:extLst>
            <a:ext uri="{FF2B5EF4-FFF2-40B4-BE49-F238E27FC236}">
              <a16:creationId xmlns:a16="http://schemas.microsoft.com/office/drawing/2014/main" id="{2FBE47FA-BBDB-4F5B-9E51-A4A0D6439F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33576"/>
          <a:ext cx="1714499" cy="361949"/>
        </a:xfrm>
        <a:prstGeom prst="rect">
          <a:avLst/>
        </a:prstGeom>
      </xdr:spPr>
    </xdr:pic>
    <xdr:clientData/>
  </xdr:twoCellAnchor>
  <xdr:twoCellAnchor>
    <xdr:from>
      <xdr:col>0</xdr:col>
      <xdr:colOff>22412</xdr:colOff>
      <xdr:row>10</xdr:row>
      <xdr:rowOff>9525</xdr:rowOff>
    </xdr:from>
    <xdr:to>
      <xdr:col>9</xdr:col>
      <xdr:colOff>0</xdr:colOff>
      <xdr:row>12</xdr:row>
      <xdr:rowOff>9525</xdr:rowOff>
    </xdr:to>
    <xdr:sp macro="" textlink="">
      <xdr:nvSpPr>
        <xdr:cNvPr id="11" name="Rechteck: abgerundete Ecken 10">
          <a:extLst>
            <a:ext uri="{FF2B5EF4-FFF2-40B4-BE49-F238E27FC236}">
              <a16:creationId xmlns:a16="http://schemas.microsoft.com/office/drawing/2014/main" id="{565C9E92-BAB1-4D64-AECA-D20E6B9F635C}"/>
            </a:ext>
          </a:extLst>
        </xdr:cNvPr>
        <xdr:cNvSpPr/>
      </xdr:nvSpPr>
      <xdr:spPr>
        <a:xfrm>
          <a:off x="22412" y="19335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13</xdr:row>
      <xdr:rowOff>11207</xdr:rowOff>
    </xdr:from>
    <xdr:to>
      <xdr:col>8</xdr:col>
      <xdr:colOff>189046</xdr:colOff>
      <xdr:row>15</xdr:row>
      <xdr:rowOff>10705</xdr:rowOff>
    </xdr:to>
    <xdr:pic>
      <xdr:nvPicPr>
        <xdr:cNvPr id="12" name="Grafik 11">
          <a:hlinkClick xmlns:r="http://schemas.openxmlformats.org/officeDocument/2006/relationships" r:id="rId4"/>
          <a:extLst>
            <a:ext uri="{FF2B5EF4-FFF2-40B4-BE49-F238E27FC236}">
              <a16:creationId xmlns:a16="http://schemas.microsoft.com/office/drawing/2014/main" id="{318242C0-819D-4A35-81C8-E6885A6BC4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2506757"/>
          <a:ext cx="1714499" cy="380498"/>
        </a:xfrm>
        <a:prstGeom prst="rect">
          <a:avLst/>
        </a:prstGeom>
      </xdr:spPr>
    </xdr:pic>
    <xdr:clientData/>
  </xdr:twoCellAnchor>
  <xdr:twoCellAnchor>
    <xdr:from>
      <xdr:col>0</xdr:col>
      <xdr:colOff>22412</xdr:colOff>
      <xdr:row>13</xdr:row>
      <xdr:rowOff>0</xdr:rowOff>
    </xdr:from>
    <xdr:to>
      <xdr:col>9</xdr:col>
      <xdr:colOff>0</xdr:colOff>
      <xdr:row>15</xdr:row>
      <xdr:rowOff>0</xdr:rowOff>
    </xdr:to>
    <xdr:sp macro="" textlink="">
      <xdr:nvSpPr>
        <xdr:cNvPr id="13" name="Rechteck: abgerundete Ecken 12">
          <a:extLst>
            <a:ext uri="{FF2B5EF4-FFF2-40B4-BE49-F238E27FC236}">
              <a16:creationId xmlns:a16="http://schemas.microsoft.com/office/drawing/2014/main" id="{2FD23E3C-2EC5-47D1-82CD-1A264D32ACE4}"/>
            </a:ext>
          </a:extLst>
        </xdr:cNvPr>
        <xdr:cNvSpPr/>
      </xdr:nvSpPr>
      <xdr:spPr>
        <a:xfrm>
          <a:off x="22412" y="2495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16</xdr:row>
      <xdr:rowOff>30257</xdr:rowOff>
    </xdr:from>
    <xdr:to>
      <xdr:col>8</xdr:col>
      <xdr:colOff>189046</xdr:colOff>
      <xdr:row>18</xdr:row>
      <xdr:rowOff>29755</xdr:rowOff>
    </xdr:to>
    <xdr:pic>
      <xdr:nvPicPr>
        <xdr:cNvPr id="14" name="Grafik 13">
          <a:hlinkClick xmlns:r="http://schemas.openxmlformats.org/officeDocument/2006/relationships" r:id="rId5"/>
          <a:extLst>
            <a:ext uri="{FF2B5EF4-FFF2-40B4-BE49-F238E27FC236}">
              <a16:creationId xmlns:a16="http://schemas.microsoft.com/office/drawing/2014/main" id="{56A0FA8F-56CD-4770-9470-14972DBF43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3097307"/>
          <a:ext cx="1714499" cy="380498"/>
        </a:xfrm>
        <a:prstGeom prst="rect">
          <a:avLst/>
        </a:prstGeom>
      </xdr:spPr>
    </xdr:pic>
    <xdr:clientData/>
  </xdr:twoCellAnchor>
  <xdr:twoCellAnchor>
    <xdr:from>
      <xdr:col>0</xdr:col>
      <xdr:colOff>22412</xdr:colOff>
      <xdr:row>16</xdr:row>
      <xdr:rowOff>9525</xdr:rowOff>
    </xdr:from>
    <xdr:to>
      <xdr:col>9</xdr:col>
      <xdr:colOff>0</xdr:colOff>
      <xdr:row>18</xdr:row>
      <xdr:rowOff>9525</xdr:rowOff>
    </xdr:to>
    <xdr:sp macro="" textlink="">
      <xdr:nvSpPr>
        <xdr:cNvPr id="15" name="Rechteck: abgerundete Ecken 14">
          <a:extLst>
            <a:ext uri="{FF2B5EF4-FFF2-40B4-BE49-F238E27FC236}">
              <a16:creationId xmlns:a16="http://schemas.microsoft.com/office/drawing/2014/main" id="{23800498-AA64-421D-A526-FA5E3CB44419}"/>
            </a:ext>
          </a:extLst>
        </xdr:cNvPr>
        <xdr:cNvSpPr/>
      </xdr:nvSpPr>
      <xdr:spPr>
        <a:xfrm>
          <a:off x="22412" y="30765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19051</xdr:colOff>
      <xdr:row>10</xdr:row>
      <xdr:rowOff>11207</xdr:rowOff>
    </xdr:from>
    <xdr:to>
      <xdr:col>9</xdr:col>
      <xdr:colOff>19050</xdr:colOff>
      <xdr:row>12</xdr:row>
      <xdr:rowOff>10705</xdr:rowOff>
    </xdr:to>
    <xdr:pic>
      <xdr:nvPicPr>
        <xdr:cNvPr id="16" name="Grafik 15">
          <a:hlinkClick xmlns:r="http://schemas.openxmlformats.org/officeDocument/2006/relationships" r:id="rId3"/>
          <a:extLst>
            <a:ext uri="{FF2B5EF4-FFF2-40B4-BE49-F238E27FC236}">
              <a16:creationId xmlns:a16="http://schemas.microsoft.com/office/drawing/2014/main" id="{A7F785F7-C73E-4223-BC18-28ED27A52A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1" y="1935257"/>
          <a:ext cx="1714499" cy="380498"/>
        </a:xfrm>
        <a:prstGeom prst="rect">
          <a:avLst/>
        </a:prstGeom>
      </xdr:spPr>
    </xdr:pic>
    <xdr:clientData/>
  </xdr:twoCellAnchor>
  <xdr:twoCellAnchor editAs="oneCell">
    <xdr:from>
      <xdr:col>0</xdr:col>
      <xdr:colOff>0</xdr:colOff>
      <xdr:row>13</xdr:row>
      <xdr:rowOff>11207</xdr:rowOff>
    </xdr:from>
    <xdr:to>
      <xdr:col>9</xdr:col>
      <xdr:colOff>1453</xdr:colOff>
      <xdr:row>15</xdr:row>
      <xdr:rowOff>10705</xdr:rowOff>
    </xdr:to>
    <xdr:pic>
      <xdr:nvPicPr>
        <xdr:cNvPr id="17" name="Grafik 16">
          <a:hlinkClick xmlns:r="http://schemas.openxmlformats.org/officeDocument/2006/relationships" r:id="rId6"/>
          <a:extLst>
            <a:ext uri="{FF2B5EF4-FFF2-40B4-BE49-F238E27FC236}">
              <a16:creationId xmlns:a16="http://schemas.microsoft.com/office/drawing/2014/main" id="{B015D379-7147-4EDE-9466-589525BB13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06757"/>
          <a:ext cx="1714499" cy="380498"/>
        </a:xfrm>
        <a:prstGeom prst="rect">
          <a:avLst/>
        </a:prstGeom>
      </xdr:spPr>
    </xdr:pic>
    <xdr:clientData/>
  </xdr:twoCellAnchor>
  <xdr:twoCellAnchor editAs="oneCell">
    <xdr:from>
      <xdr:col>0</xdr:col>
      <xdr:colOff>0</xdr:colOff>
      <xdr:row>16</xdr:row>
      <xdr:rowOff>11207</xdr:rowOff>
    </xdr:from>
    <xdr:to>
      <xdr:col>9</xdr:col>
      <xdr:colOff>1453</xdr:colOff>
      <xdr:row>18</xdr:row>
      <xdr:rowOff>10705</xdr:rowOff>
    </xdr:to>
    <xdr:pic>
      <xdr:nvPicPr>
        <xdr:cNvPr id="18" name="Grafik 17">
          <a:hlinkClick xmlns:r="http://schemas.openxmlformats.org/officeDocument/2006/relationships" r:id="rId5"/>
          <a:extLst>
            <a:ext uri="{FF2B5EF4-FFF2-40B4-BE49-F238E27FC236}">
              <a16:creationId xmlns:a16="http://schemas.microsoft.com/office/drawing/2014/main" id="{EAE87B16-A25D-48E7-B09F-3C3DAA0721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78257"/>
          <a:ext cx="1714499" cy="380498"/>
        </a:xfrm>
        <a:prstGeom prst="rect">
          <a:avLst/>
        </a:prstGeom>
      </xdr:spPr>
    </xdr:pic>
    <xdr:clientData/>
  </xdr:twoCellAnchor>
  <xdr:twoCellAnchor>
    <xdr:from>
      <xdr:col>0</xdr:col>
      <xdr:colOff>1</xdr:colOff>
      <xdr:row>0</xdr:row>
      <xdr:rowOff>0</xdr:rowOff>
    </xdr:from>
    <xdr:to>
      <xdr:col>18</xdr:col>
      <xdr:colOff>1</xdr:colOff>
      <xdr:row>2</xdr:row>
      <xdr:rowOff>180975</xdr:rowOff>
    </xdr:to>
    <xdr:sp macro="" textlink="">
      <xdr:nvSpPr>
        <xdr:cNvPr id="2" name="Rechteck: obere Ecken abgerundet 1">
          <a:extLst>
            <a:ext uri="{FF2B5EF4-FFF2-40B4-BE49-F238E27FC236}">
              <a16:creationId xmlns:a16="http://schemas.microsoft.com/office/drawing/2014/main" id="{1413D100-7DD8-4E11-ACEF-09E8F12F5572}"/>
            </a:ext>
          </a:extLst>
        </xdr:cNvPr>
        <xdr:cNvSpPr/>
      </xdr:nvSpPr>
      <xdr:spPr>
        <a:xfrm>
          <a:off x="1" y="0"/>
          <a:ext cx="8081708" cy="559067"/>
        </a:xfrm>
        <a:prstGeom prst="round2Same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2" name="Rechteck: abgerundete Ecken 1">
          <a:extLst>
            <a:ext uri="{FF2B5EF4-FFF2-40B4-BE49-F238E27FC236}">
              <a16:creationId xmlns:a16="http://schemas.microsoft.com/office/drawing/2014/main" id="{F0547EA4-BF89-4702-A3D6-BC2CD2DF5682}"/>
            </a:ext>
          </a:extLst>
        </xdr:cNvPr>
        <xdr:cNvSpPr/>
      </xdr:nvSpPr>
      <xdr:spPr>
        <a:xfrm>
          <a:off x="22412" y="1352550"/>
          <a:ext cx="1777813"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85725</xdr:colOff>
      <xdr:row>9</xdr:row>
      <xdr:rowOff>1180</xdr:rowOff>
    </xdr:to>
    <xdr:pic>
      <xdr:nvPicPr>
        <xdr:cNvPr id="5" name="Grafik 4">
          <a:hlinkClick xmlns:r="http://schemas.openxmlformats.org/officeDocument/2006/relationships" r:id="rId1"/>
          <a:extLst>
            <a:ext uri="{FF2B5EF4-FFF2-40B4-BE49-F238E27FC236}">
              <a16:creationId xmlns:a16="http://schemas.microsoft.com/office/drawing/2014/main" id="{36D2EC72-C13D-408B-B909-0EB10ADA07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800224" cy="380498"/>
        </a:xfrm>
        <a:prstGeom prst="rect">
          <a:avLst/>
        </a:prstGeom>
      </xdr:spPr>
    </xdr:pic>
    <xdr:clientData/>
  </xdr:twoCellAnchor>
  <xdr:twoCellAnchor editAs="oneCell">
    <xdr:from>
      <xdr:col>0</xdr:col>
      <xdr:colOff>0</xdr:colOff>
      <xdr:row>10</xdr:row>
      <xdr:rowOff>9526</xdr:rowOff>
    </xdr:from>
    <xdr:to>
      <xdr:col>9</xdr:col>
      <xdr:colOff>76199</xdr:colOff>
      <xdr:row>11</xdr:row>
      <xdr:rowOff>180975</xdr:rowOff>
    </xdr:to>
    <xdr:pic>
      <xdr:nvPicPr>
        <xdr:cNvPr id="6" name="Grafik 5">
          <a:hlinkClick xmlns:r="http://schemas.openxmlformats.org/officeDocument/2006/relationships" r:id="rId3"/>
          <a:extLst>
            <a:ext uri="{FF2B5EF4-FFF2-40B4-BE49-F238E27FC236}">
              <a16:creationId xmlns:a16="http://schemas.microsoft.com/office/drawing/2014/main" id="{E5E3EDB0-4C5A-4CD5-9CAD-B50771BE47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33576"/>
          <a:ext cx="1790699" cy="361949"/>
        </a:xfrm>
        <a:prstGeom prst="rect">
          <a:avLst/>
        </a:prstGeom>
      </xdr:spPr>
    </xdr:pic>
    <xdr:clientData/>
  </xdr:twoCellAnchor>
  <xdr:twoCellAnchor>
    <xdr:from>
      <xdr:col>0</xdr:col>
      <xdr:colOff>22412</xdr:colOff>
      <xdr:row>10</xdr:row>
      <xdr:rowOff>9525</xdr:rowOff>
    </xdr:from>
    <xdr:to>
      <xdr:col>9</xdr:col>
      <xdr:colOff>0</xdr:colOff>
      <xdr:row>12</xdr:row>
      <xdr:rowOff>9525</xdr:rowOff>
    </xdr:to>
    <xdr:sp macro="" textlink="">
      <xdr:nvSpPr>
        <xdr:cNvPr id="7" name="Rechteck: abgerundete Ecken 6">
          <a:extLst>
            <a:ext uri="{FF2B5EF4-FFF2-40B4-BE49-F238E27FC236}">
              <a16:creationId xmlns:a16="http://schemas.microsoft.com/office/drawing/2014/main" id="{8517171A-69A8-494B-8A14-5124A8DF8AD7}"/>
            </a:ext>
          </a:extLst>
        </xdr:cNvPr>
        <xdr:cNvSpPr/>
      </xdr:nvSpPr>
      <xdr:spPr>
        <a:xfrm>
          <a:off x="22412" y="1933575"/>
          <a:ext cx="1777813"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13</xdr:row>
      <xdr:rowOff>11207</xdr:rowOff>
    </xdr:from>
    <xdr:to>
      <xdr:col>9</xdr:col>
      <xdr:colOff>85725</xdr:colOff>
      <xdr:row>15</xdr:row>
      <xdr:rowOff>10705</xdr:rowOff>
    </xdr:to>
    <xdr:pic>
      <xdr:nvPicPr>
        <xdr:cNvPr id="8" name="Grafik 7">
          <a:hlinkClick xmlns:r="http://schemas.openxmlformats.org/officeDocument/2006/relationships" r:id="rId4"/>
          <a:extLst>
            <a:ext uri="{FF2B5EF4-FFF2-40B4-BE49-F238E27FC236}">
              <a16:creationId xmlns:a16="http://schemas.microsoft.com/office/drawing/2014/main" id="{41B3C6EF-840E-4443-ACC1-09D612346A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2506757"/>
          <a:ext cx="1800224" cy="380498"/>
        </a:xfrm>
        <a:prstGeom prst="rect">
          <a:avLst/>
        </a:prstGeom>
      </xdr:spPr>
    </xdr:pic>
    <xdr:clientData/>
  </xdr:twoCellAnchor>
  <xdr:twoCellAnchor>
    <xdr:from>
      <xdr:col>0</xdr:col>
      <xdr:colOff>22412</xdr:colOff>
      <xdr:row>13</xdr:row>
      <xdr:rowOff>0</xdr:rowOff>
    </xdr:from>
    <xdr:to>
      <xdr:col>9</xdr:col>
      <xdr:colOff>0</xdr:colOff>
      <xdr:row>15</xdr:row>
      <xdr:rowOff>0</xdr:rowOff>
    </xdr:to>
    <xdr:sp macro="" textlink="">
      <xdr:nvSpPr>
        <xdr:cNvPr id="9" name="Rechteck: abgerundete Ecken 8">
          <a:extLst>
            <a:ext uri="{FF2B5EF4-FFF2-40B4-BE49-F238E27FC236}">
              <a16:creationId xmlns:a16="http://schemas.microsoft.com/office/drawing/2014/main" id="{9E5FD11B-BB78-419B-AC8B-2D3BC6D1569E}"/>
            </a:ext>
          </a:extLst>
        </xdr:cNvPr>
        <xdr:cNvSpPr/>
      </xdr:nvSpPr>
      <xdr:spPr>
        <a:xfrm>
          <a:off x="22412" y="2495550"/>
          <a:ext cx="1777813"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16</xdr:row>
      <xdr:rowOff>30257</xdr:rowOff>
    </xdr:from>
    <xdr:to>
      <xdr:col>9</xdr:col>
      <xdr:colOff>85725</xdr:colOff>
      <xdr:row>18</xdr:row>
      <xdr:rowOff>29755</xdr:rowOff>
    </xdr:to>
    <xdr:pic>
      <xdr:nvPicPr>
        <xdr:cNvPr id="10" name="Grafik 9">
          <a:hlinkClick xmlns:r="http://schemas.openxmlformats.org/officeDocument/2006/relationships" r:id="rId5"/>
          <a:extLst>
            <a:ext uri="{FF2B5EF4-FFF2-40B4-BE49-F238E27FC236}">
              <a16:creationId xmlns:a16="http://schemas.microsoft.com/office/drawing/2014/main" id="{65DC0E21-A928-44E5-A6CA-F5CDFA63C0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3097307"/>
          <a:ext cx="1800224" cy="380498"/>
        </a:xfrm>
        <a:prstGeom prst="rect">
          <a:avLst/>
        </a:prstGeom>
      </xdr:spPr>
    </xdr:pic>
    <xdr:clientData/>
  </xdr:twoCellAnchor>
  <xdr:twoCellAnchor>
    <xdr:from>
      <xdr:col>0</xdr:col>
      <xdr:colOff>22412</xdr:colOff>
      <xdr:row>16</xdr:row>
      <xdr:rowOff>28575</xdr:rowOff>
    </xdr:from>
    <xdr:to>
      <xdr:col>9</xdr:col>
      <xdr:colOff>0</xdr:colOff>
      <xdr:row>18</xdr:row>
      <xdr:rowOff>28575</xdr:rowOff>
    </xdr:to>
    <xdr:sp macro="" textlink="">
      <xdr:nvSpPr>
        <xdr:cNvPr id="13" name="Rechteck: abgerundete Ecken 12">
          <a:extLst>
            <a:ext uri="{FF2B5EF4-FFF2-40B4-BE49-F238E27FC236}">
              <a16:creationId xmlns:a16="http://schemas.microsoft.com/office/drawing/2014/main" id="{2C1AD471-0738-4C0D-817F-C5094A71E373}"/>
            </a:ext>
          </a:extLst>
        </xdr:cNvPr>
        <xdr:cNvSpPr/>
      </xdr:nvSpPr>
      <xdr:spPr>
        <a:xfrm>
          <a:off x="22412" y="3095625"/>
          <a:ext cx="1777813"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19051</xdr:colOff>
      <xdr:row>10</xdr:row>
      <xdr:rowOff>11207</xdr:rowOff>
    </xdr:from>
    <xdr:to>
      <xdr:col>9</xdr:col>
      <xdr:colOff>104775</xdr:colOff>
      <xdr:row>12</xdr:row>
      <xdr:rowOff>10705</xdr:rowOff>
    </xdr:to>
    <xdr:pic>
      <xdr:nvPicPr>
        <xdr:cNvPr id="14" name="Grafik 13">
          <a:hlinkClick xmlns:r="http://schemas.openxmlformats.org/officeDocument/2006/relationships" r:id="rId3"/>
          <a:extLst>
            <a:ext uri="{FF2B5EF4-FFF2-40B4-BE49-F238E27FC236}">
              <a16:creationId xmlns:a16="http://schemas.microsoft.com/office/drawing/2014/main" id="{5C0BC00C-408F-4B23-A57D-0B08B23802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1" y="1935257"/>
          <a:ext cx="1800224" cy="380498"/>
        </a:xfrm>
        <a:prstGeom prst="rect">
          <a:avLst/>
        </a:prstGeom>
      </xdr:spPr>
    </xdr:pic>
    <xdr:clientData/>
  </xdr:twoCellAnchor>
  <xdr:twoCellAnchor editAs="oneCell">
    <xdr:from>
      <xdr:col>0</xdr:col>
      <xdr:colOff>0</xdr:colOff>
      <xdr:row>13</xdr:row>
      <xdr:rowOff>11207</xdr:rowOff>
    </xdr:from>
    <xdr:to>
      <xdr:col>9</xdr:col>
      <xdr:colOff>85724</xdr:colOff>
      <xdr:row>15</xdr:row>
      <xdr:rowOff>10705</xdr:rowOff>
    </xdr:to>
    <xdr:pic>
      <xdr:nvPicPr>
        <xdr:cNvPr id="15" name="Grafik 14">
          <a:hlinkClick xmlns:r="http://schemas.openxmlformats.org/officeDocument/2006/relationships" r:id="rId6"/>
          <a:extLst>
            <a:ext uri="{FF2B5EF4-FFF2-40B4-BE49-F238E27FC236}">
              <a16:creationId xmlns:a16="http://schemas.microsoft.com/office/drawing/2014/main" id="{EFDCEBBD-3BAC-487B-8CB3-3A6AC6F118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06757"/>
          <a:ext cx="1800224" cy="380498"/>
        </a:xfrm>
        <a:prstGeom prst="rect">
          <a:avLst/>
        </a:prstGeom>
      </xdr:spPr>
    </xdr:pic>
    <xdr:clientData/>
  </xdr:twoCellAnchor>
  <xdr:twoCellAnchor editAs="oneCell">
    <xdr:from>
      <xdr:col>0</xdr:col>
      <xdr:colOff>0</xdr:colOff>
      <xdr:row>16</xdr:row>
      <xdr:rowOff>30257</xdr:rowOff>
    </xdr:from>
    <xdr:to>
      <xdr:col>9</xdr:col>
      <xdr:colOff>85724</xdr:colOff>
      <xdr:row>18</xdr:row>
      <xdr:rowOff>29755</xdr:rowOff>
    </xdr:to>
    <xdr:pic>
      <xdr:nvPicPr>
        <xdr:cNvPr id="16" name="Grafik 15">
          <a:hlinkClick xmlns:r="http://schemas.openxmlformats.org/officeDocument/2006/relationships" r:id="rId5"/>
          <a:extLst>
            <a:ext uri="{FF2B5EF4-FFF2-40B4-BE49-F238E27FC236}">
              <a16:creationId xmlns:a16="http://schemas.microsoft.com/office/drawing/2014/main" id="{842A40DA-74EF-4784-A88C-9A37754C16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97307"/>
          <a:ext cx="1800224" cy="380498"/>
        </a:xfrm>
        <a:prstGeom prst="rect">
          <a:avLst/>
        </a:prstGeom>
      </xdr:spPr>
    </xdr:pic>
    <xdr:clientData/>
  </xdr:twoCellAnchor>
  <xdr:twoCellAnchor editAs="oneCell">
    <xdr:from>
      <xdr:col>29</xdr:col>
      <xdr:colOff>363681</xdr:colOff>
      <xdr:row>3</xdr:row>
      <xdr:rowOff>69272</xdr:rowOff>
    </xdr:from>
    <xdr:to>
      <xdr:col>33</xdr:col>
      <xdr:colOff>112854</xdr:colOff>
      <xdr:row>14</xdr:row>
      <xdr:rowOff>108144</xdr:rowOff>
    </xdr:to>
    <xdr:pic>
      <xdr:nvPicPr>
        <xdr:cNvPr id="4" name="Grafik 3">
          <a:extLst>
            <a:ext uri="{FF2B5EF4-FFF2-40B4-BE49-F238E27FC236}">
              <a16:creationId xmlns:a16="http://schemas.microsoft.com/office/drawing/2014/main" id="{B0E9D200-5EED-426C-B437-7E7B69E552F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058408" y="640772"/>
          <a:ext cx="2797173" cy="2169008"/>
        </a:xfrm>
        <a:prstGeom prst="rect">
          <a:avLst/>
        </a:prstGeom>
      </xdr:spPr>
    </xdr:pic>
    <xdr:clientData/>
  </xdr:twoCellAnchor>
  <xdr:twoCellAnchor>
    <xdr:from>
      <xdr:col>36</xdr:col>
      <xdr:colOff>0</xdr:colOff>
      <xdr:row>24</xdr:row>
      <xdr:rowOff>0</xdr:rowOff>
    </xdr:from>
    <xdr:to>
      <xdr:col>36</xdr:col>
      <xdr:colOff>781050</xdr:colOff>
      <xdr:row>24</xdr:row>
      <xdr:rowOff>0</xdr:rowOff>
    </xdr:to>
    <xdr:cxnSp macro="">
      <xdr:nvCxnSpPr>
        <xdr:cNvPr id="12" name="Gerade Verbindung mit Pfeil 11">
          <a:extLst>
            <a:ext uri="{FF2B5EF4-FFF2-40B4-BE49-F238E27FC236}">
              <a16:creationId xmlns:a16="http://schemas.microsoft.com/office/drawing/2014/main" id="{157E833E-EF60-FD7D-487B-01757110265F}"/>
            </a:ext>
          </a:extLst>
        </xdr:cNvPr>
        <xdr:cNvCxnSpPr/>
      </xdr:nvCxnSpPr>
      <xdr:spPr>
        <a:xfrm>
          <a:off x="23002875" y="4591050"/>
          <a:ext cx="7810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19050</xdr:colOff>
      <xdr:row>24</xdr:row>
      <xdr:rowOff>0</xdr:rowOff>
    </xdr:from>
    <xdr:to>
      <xdr:col>38</xdr:col>
      <xdr:colOff>800100</xdr:colOff>
      <xdr:row>24</xdr:row>
      <xdr:rowOff>0</xdr:rowOff>
    </xdr:to>
    <xdr:cxnSp macro="">
      <xdr:nvCxnSpPr>
        <xdr:cNvPr id="17" name="Gerade Verbindung mit Pfeil 16">
          <a:extLst>
            <a:ext uri="{FF2B5EF4-FFF2-40B4-BE49-F238E27FC236}">
              <a16:creationId xmlns:a16="http://schemas.microsoft.com/office/drawing/2014/main" id="{37A809D7-A9FF-1809-B995-C560D93BB066}"/>
            </a:ext>
          </a:extLst>
        </xdr:cNvPr>
        <xdr:cNvCxnSpPr/>
      </xdr:nvCxnSpPr>
      <xdr:spPr>
        <a:xfrm>
          <a:off x="24660225" y="4591050"/>
          <a:ext cx="7810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18</xdr:col>
      <xdr:colOff>5351</xdr:colOff>
      <xdr:row>2</xdr:row>
      <xdr:rowOff>192639</xdr:rowOff>
    </xdr:to>
    <xdr:sp macro="" textlink="">
      <xdr:nvSpPr>
        <xdr:cNvPr id="3" name="Rechteck: obere Ecken abgerundet 2">
          <a:extLst>
            <a:ext uri="{FF2B5EF4-FFF2-40B4-BE49-F238E27FC236}">
              <a16:creationId xmlns:a16="http://schemas.microsoft.com/office/drawing/2014/main" id="{BDA0390F-6CE5-4D1E-A412-948347E54B91}"/>
            </a:ext>
          </a:extLst>
        </xdr:cNvPr>
        <xdr:cNvSpPr/>
      </xdr:nvSpPr>
      <xdr:spPr>
        <a:xfrm>
          <a:off x="0" y="0"/>
          <a:ext cx="8010632" cy="577920"/>
        </a:xfrm>
        <a:prstGeom prst="round2Same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8" name="Rechteck: abgerundete Ecken 7">
          <a:extLst>
            <a:ext uri="{FF2B5EF4-FFF2-40B4-BE49-F238E27FC236}">
              <a16:creationId xmlns:a16="http://schemas.microsoft.com/office/drawing/2014/main" id="{76333619-C0E2-446D-B4F1-D3E181AFF64E}"/>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19050</xdr:colOff>
      <xdr:row>9</xdr:row>
      <xdr:rowOff>1180</xdr:rowOff>
    </xdr:to>
    <xdr:pic>
      <xdr:nvPicPr>
        <xdr:cNvPr id="9" name="Grafik 8">
          <a:hlinkClick xmlns:r="http://schemas.openxmlformats.org/officeDocument/2006/relationships" r:id="rId1"/>
          <a:extLst>
            <a:ext uri="{FF2B5EF4-FFF2-40B4-BE49-F238E27FC236}">
              <a16:creationId xmlns:a16="http://schemas.microsoft.com/office/drawing/2014/main" id="{07D9B39F-C17B-47A3-8EF8-9804BF3A11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33549" cy="380498"/>
        </a:xfrm>
        <a:prstGeom prst="rect">
          <a:avLst/>
        </a:prstGeom>
      </xdr:spPr>
    </xdr:pic>
    <xdr:clientData/>
  </xdr:twoCellAnchor>
  <xdr:twoCellAnchor>
    <xdr:from>
      <xdr:col>0</xdr:col>
      <xdr:colOff>22412</xdr:colOff>
      <xdr:row>10</xdr:row>
      <xdr:rowOff>0</xdr:rowOff>
    </xdr:from>
    <xdr:to>
      <xdr:col>9</xdr:col>
      <xdr:colOff>0</xdr:colOff>
      <xdr:row>12</xdr:row>
      <xdr:rowOff>0</xdr:rowOff>
    </xdr:to>
    <xdr:sp macro="" textlink="">
      <xdr:nvSpPr>
        <xdr:cNvPr id="11" name="Rechteck: abgerundete Ecken 10">
          <a:extLst>
            <a:ext uri="{FF2B5EF4-FFF2-40B4-BE49-F238E27FC236}">
              <a16:creationId xmlns:a16="http://schemas.microsoft.com/office/drawing/2014/main" id="{54B9DC0C-43C5-47C9-A395-63AFD1CA5186}"/>
            </a:ext>
          </a:extLst>
        </xdr:cNvPr>
        <xdr:cNvSpPr/>
      </xdr:nvSpPr>
      <xdr:spPr>
        <a:xfrm>
          <a:off x="22412" y="19240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13</xdr:row>
      <xdr:rowOff>9525</xdr:rowOff>
    </xdr:from>
    <xdr:to>
      <xdr:col>9</xdr:col>
      <xdr:colOff>0</xdr:colOff>
      <xdr:row>15</xdr:row>
      <xdr:rowOff>9525</xdr:rowOff>
    </xdr:to>
    <xdr:sp macro="" textlink="">
      <xdr:nvSpPr>
        <xdr:cNvPr id="13" name="Rechteck: abgerundete Ecken 12">
          <a:extLst>
            <a:ext uri="{FF2B5EF4-FFF2-40B4-BE49-F238E27FC236}">
              <a16:creationId xmlns:a16="http://schemas.microsoft.com/office/drawing/2014/main" id="{EAD28B3B-13C3-4FDA-80B0-206B3A4E07DB}"/>
            </a:ext>
          </a:extLst>
        </xdr:cNvPr>
        <xdr:cNvSpPr/>
      </xdr:nvSpPr>
      <xdr:spPr>
        <a:xfrm>
          <a:off x="22412" y="25050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16</xdr:row>
      <xdr:rowOff>9525</xdr:rowOff>
    </xdr:from>
    <xdr:to>
      <xdr:col>9</xdr:col>
      <xdr:colOff>0</xdr:colOff>
      <xdr:row>18</xdr:row>
      <xdr:rowOff>9525</xdr:rowOff>
    </xdr:to>
    <xdr:sp macro="" textlink="">
      <xdr:nvSpPr>
        <xdr:cNvPr id="15" name="Rechteck: abgerundete Ecken 14">
          <a:extLst>
            <a:ext uri="{FF2B5EF4-FFF2-40B4-BE49-F238E27FC236}">
              <a16:creationId xmlns:a16="http://schemas.microsoft.com/office/drawing/2014/main" id="{2593570E-2CAC-44D4-B7EC-F261C7F83FAA}"/>
            </a:ext>
          </a:extLst>
        </xdr:cNvPr>
        <xdr:cNvSpPr/>
      </xdr:nvSpPr>
      <xdr:spPr>
        <a:xfrm>
          <a:off x="22412" y="30765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19051</xdr:colOff>
      <xdr:row>10</xdr:row>
      <xdr:rowOff>11207</xdr:rowOff>
    </xdr:from>
    <xdr:to>
      <xdr:col>9</xdr:col>
      <xdr:colOff>38100</xdr:colOff>
      <xdr:row>12</xdr:row>
      <xdr:rowOff>10705</xdr:rowOff>
    </xdr:to>
    <xdr:pic>
      <xdr:nvPicPr>
        <xdr:cNvPr id="16" name="Grafik 15">
          <a:hlinkClick xmlns:r="http://schemas.openxmlformats.org/officeDocument/2006/relationships" r:id="rId3"/>
          <a:extLst>
            <a:ext uri="{FF2B5EF4-FFF2-40B4-BE49-F238E27FC236}">
              <a16:creationId xmlns:a16="http://schemas.microsoft.com/office/drawing/2014/main" id="{3C8175CE-A25D-4EBB-85CE-D81244C788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1" y="1935257"/>
          <a:ext cx="1733549" cy="380498"/>
        </a:xfrm>
        <a:prstGeom prst="rect">
          <a:avLst/>
        </a:prstGeom>
      </xdr:spPr>
    </xdr:pic>
    <xdr:clientData/>
  </xdr:twoCellAnchor>
  <xdr:twoCellAnchor editAs="oneCell">
    <xdr:from>
      <xdr:col>0</xdr:col>
      <xdr:colOff>0</xdr:colOff>
      <xdr:row>13</xdr:row>
      <xdr:rowOff>11207</xdr:rowOff>
    </xdr:from>
    <xdr:to>
      <xdr:col>9</xdr:col>
      <xdr:colOff>85724</xdr:colOff>
      <xdr:row>15</xdr:row>
      <xdr:rowOff>10705</xdr:rowOff>
    </xdr:to>
    <xdr:pic>
      <xdr:nvPicPr>
        <xdr:cNvPr id="17" name="Grafik 16">
          <a:hlinkClick xmlns:r="http://schemas.openxmlformats.org/officeDocument/2006/relationships" r:id="rId4"/>
          <a:extLst>
            <a:ext uri="{FF2B5EF4-FFF2-40B4-BE49-F238E27FC236}">
              <a16:creationId xmlns:a16="http://schemas.microsoft.com/office/drawing/2014/main" id="{4ECF4DA1-A96C-46C6-A4E5-49B90D50F4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06757"/>
          <a:ext cx="1800224" cy="380498"/>
        </a:xfrm>
        <a:prstGeom prst="rect">
          <a:avLst/>
        </a:prstGeom>
      </xdr:spPr>
    </xdr:pic>
    <xdr:clientData/>
  </xdr:twoCellAnchor>
  <xdr:twoCellAnchor editAs="oneCell">
    <xdr:from>
      <xdr:col>0</xdr:col>
      <xdr:colOff>0</xdr:colOff>
      <xdr:row>16</xdr:row>
      <xdr:rowOff>1682</xdr:rowOff>
    </xdr:from>
    <xdr:to>
      <xdr:col>9</xdr:col>
      <xdr:colOff>19050</xdr:colOff>
      <xdr:row>18</xdr:row>
      <xdr:rowOff>1180</xdr:rowOff>
    </xdr:to>
    <xdr:pic>
      <xdr:nvPicPr>
        <xdr:cNvPr id="18" name="Grafik 17">
          <a:hlinkClick xmlns:r="http://schemas.openxmlformats.org/officeDocument/2006/relationships" r:id="rId5"/>
          <a:extLst>
            <a:ext uri="{FF2B5EF4-FFF2-40B4-BE49-F238E27FC236}">
              <a16:creationId xmlns:a16="http://schemas.microsoft.com/office/drawing/2014/main" id="{0BAB907F-42CC-4689-97BE-1059162C44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68732"/>
          <a:ext cx="1733550" cy="380498"/>
        </a:xfrm>
        <a:prstGeom prst="rect">
          <a:avLst/>
        </a:prstGeom>
      </xdr:spPr>
    </xdr:pic>
    <xdr:clientData/>
  </xdr:twoCellAnchor>
  <xdr:twoCellAnchor>
    <xdr:from>
      <xdr:col>0</xdr:col>
      <xdr:colOff>0</xdr:colOff>
      <xdr:row>19</xdr:row>
      <xdr:rowOff>0</xdr:rowOff>
    </xdr:from>
    <xdr:to>
      <xdr:col>9</xdr:col>
      <xdr:colOff>9524</xdr:colOff>
      <xdr:row>21</xdr:row>
      <xdr:rowOff>0</xdr:rowOff>
    </xdr:to>
    <xdr:sp macro="" textlink="">
      <xdr:nvSpPr>
        <xdr:cNvPr id="2" name="Rechteck: abgerundete Ecken 1">
          <a:extLst>
            <a:ext uri="{FF2B5EF4-FFF2-40B4-BE49-F238E27FC236}">
              <a16:creationId xmlns:a16="http://schemas.microsoft.com/office/drawing/2014/main" id="{01BB7FE8-3FE2-53AB-659E-73167316B17F}"/>
            </a:ext>
          </a:extLst>
        </xdr:cNvPr>
        <xdr:cNvSpPr/>
      </xdr:nvSpPr>
      <xdr:spPr>
        <a:xfrm>
          <a:off x="0" y="3638550"/>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0</xdr:colOff>
      <xdr:row>22</xdr:row>
      <xdr:rowOff>9525</xdr:rowOff>
    </xdr:from>
    <xdr:to>
      <xdr:col>8</xdr:col>
      <xdr:colOff>171450</xdr:colOff>
      <xdr:row>24</xdr:row>
      <xdr:rowOff>9525</xdr:rowOff>
    </xdr:to>
    <xdr:sp macro="" textlink="">
      <xdr:nvSpPr>
        <xdr:cNvPr id="3" name="Rechteck: abgerundete Ecken 2">
          <a:extLst>
            <a:ext uri="{FF2B5EF4-FFF2-40B4-BE49-F238E27FC236}">
              <a16:creationId xmlns:a16="http://schemas.microsoft.com/office/drawing/2014/main" id="{43CEA3FF-473F-A5D0-1E1C-4535D9384B17}"/>
            </a:ext>
          </a:extLst>
        </xdr:cNvPr>
        <xdr:cNvSpPr/>
      </xdr:nvSpPr>
      <xdr:spPr>
        <a:xfrm>
          <a:off x="0" y="4219575"/>
          <a:ext cx="1695450"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22</xdr:row>
      <xdr:rowOff>9525</xdr:rowOff>
    </xdr:from>
    <xdr:to>
      <xdr:col>8</xdr:col>
      <xdr:colOff>180974</xdr:colOff>
      <xdr:row>24</xdr:row>
      <xdr:rowOff>9023</xdr:rowOff>
    </xdr:to>
    <xdr:pic>
      <xdr:nvPicPr>
        <xdr:cNvPr id="4" name="Grafik 3">
          <a:hlinkClick xmlns:r="http://schemas.openxmlformats.org/officeDocument/2006/relationships" r:id="rId6"/>
          <a:extLst>
            <a:ext uri="{FF2B5EF4-FFF2-40B4-BE49-F238E27FC236}">
              <a16:creationId xmlns:a16="http://schemas.microsoft.com/office/drawing/2014/main" id="{EC196F7F-0204-4EC0-BD6F-43471DF14A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19575"/>
          <a:ext cx="1704974" cy="380498"/>
        </a:xfrm>
        <a:prstGeom prst="rect">
          <a:avLst/>
        </a:prstGeom>
      </xdr:spPr>
    </xdr:pic>
    <xdr:clientData/>
  </xdr:twoCellAnchor>
  <xdr:twoCellAnchor editAs="oneCell">
    <xdr:from>
      <xdr:col>0</xdr:col>
      <xdr:colOff>0</xdr:colOff>
      <xdr:row>18</xdr:row>
      <xdr:rowOff>182657</xdr:rowOff>
    </xdr:from>
    <xdr:to>
      <xdr:col>9</xdr:col>
      <xdr:colOff>19050</xdr:colOff>
      <xdr:row>20</xdr:row>
      <xdr:rowOff>182155</xdr:rowOff>
    </xdr:to>
    <xdr:pic>
      <xdr:nvPicPr>
        <xdr:cNvPr id="5" name="Grafik 4">
          <a:hlinkClick xmlns:r="http://schemas.openxmlformats.org/officeDocument/2006/relationships" r:id="rId7"/>
          <a:extLst>
            <a:ext uri="{FF2B5EF4-FFF2-40B4-BE49-F238E27FC236}">
              <a16:creationId xmlns:a16="http://schemas.microsoft.com/office/drawing/2014/main" id="{8EDF4C7A-52F7-83FE-BF44-989C6C986E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630707"/>
          <a:ext cx="1733550" cy="3804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22412</xdr:colOff>
      <xdr:row>8</xdr:row>
      <xdr:rowOff>0</xdr:rowOff>
    </xdr:from>
    <xdr:to>
      <xdr:col>9</xdr:col>
      <xdr:colOff>0</xdr:colOff>
      <xdr:row>10</xdr:row>
      <xdr:rowOff>0</xdr:rowOff>
    </xdr:to>
    <xdr:sp macro="" textlink="">
      <xdr:nvSpPr>
        <xdr:cNvPr id="2" name="Rechteck: abgerundete Ecken 1">
          <a:extLst>
            <a:ext uri="{FF2B5EF4-FFF2-40B4-BE49-F238E27FC236}">
              <a16:creationId xmlns:a16="http://schemas.microsoft.com/office/drawing/2014/main" id="{4F2DBD5B-6F89-438A-8C85-2DFA23009D46}"/>
            </a:ext>
          </a:extLst>
        </xdr:cNvPr>
        <xdr:cNvSpPr/>
      </xdr:nvSpPr>
      <xdr:spPr>
        <a:xfrm>
          <a:off x="22412" y="13620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8</xdr:row>
      <xdr:rowOff>1682</xdr:rowOff>
    </xdr:from>
    <xdr:to>
      <xdr:col>9</xdr:col>
      <xdr:colOff>0</xdr:colOff>
      <xdr:row>10</xdr:row>
      <xdr:rowOff>1180</xdr:rowOff>
    </xdr:to>
    <xdr:pic>
      <xdr:nvPicPr>
        <xdr:cNvPr id="8" name="Grafik 7">
          <a:hlinkClick xmlns:r="http://schemas.openxmlformats.org/officeDocument/2006/relationships" r:id="rId1"/>
          <a:extLst>
            <a:ext uri="{FF2B5EF4-FFF2-40B4-BE49-F238E27FC236}">
              <a16:creationId xmlns:a16="http://schemas.microsoft.com/office/drawing/2014/main" id="{DDE6FDF0-B953-4CAA-A548-694764A744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800224" cy="380498"/>
        </a:xfrm>
        <a:prstGeom prst="rect">
          <a:avLst/>
        </a:prstGeom>
      </xdr:spPr>
    </xdr:pic>
    <xdr:clientData/>
  </xdr:twoCellAnchor>
  <xdr:twoCellAnchor editAs="oneCell">
    <xdr:from>
      <xdr:col>0</xdr:col>
      <xdr:colOff>0</xdr:colOff>
      <xdr:row>11</xdr:row>
      <xdr:rowOff>9526</xdr:rowOff>
    </xdr:from>
    <xdr:to>
      <xdr:col>8</xdr:col>
      <xdr:colOff>190499</xdr:colOff>
      <xdr:row>12</xdr:row>
      <xdr:rowOff>180975</xdr:rowOff>
    </xdr:to>
    <xdr:pic>
      <xdr:nvPicPr>
        <xdr:cNvPr id="9" name="Grafik 8">
          <a:hlinkClick xmlns:r="http://schemas.openxmlformats.org/officeDocument/2006/relationships" r:id="rId3"/>
          <a:extLst>
            <a:ext uri="{FF2B5EF4-FFF2-40B4-BE49-F238E27FC236}">
              <a16:creationId xmlns:a16="http://schemas.microsoft.com/office/drawing/2014/main" id="{AEF9BAFF-ED4F-4F34-8F0F-C1505C5B26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33576"/>
          <a:ext cx="1790699" cy="361949"/>
        </a:xfrm>
        <a:prstGeom prst="rect">
          <a:avLst/>
        </a:prstGeom>
      </xdr:spPr>
    </xdr:pic>
    <xdr:clientData/>
  </xdr:twoCellAnchor>
  <xdr:twoCellAnchor>
    <xdr:from>
      <xdr:col>0</xdr:col>
      <xdr:colOff>22412</xdr:colOff>
      <xdr:row>11</xdr:row>
      <xdr:rowOff>9525</xdr:rowOff>
    </xdr:from>
    <xdr:to>
      <xdr:col>9</xdr:col>
      <xdr:colOff>0</xdr:colOff>
      <xdr:row>13</xdr:row>
      <xdr:rowOff>9525</xdr:rowOff>
    </xdr:to>
    <xdr:sp macro="" textlink="">
      <xdr:nvSpPr>
        <xdr:cNvPr id="10" name="Rechteck: abgerundete Ecken 9">
          <a:extLst>
            <a:ext uri="{FF2B5EF4-FFF2-40B4-BE49-F238E27FC236}">
              <a16:creationId xmlns:a16="http://schemas.microsoft.com/office/drawing/2014/main" id="{76D6348D-2FAF-4414-B1A1-241BE1B78FDC}"/>
            </a:ext>
          </a:extLst>
        </xdr:cNvPr>
        <xdr:cNvSpPr/>
      </xdr:nvSpPr>
      <xdr:spPr>
        <a:xfrm>
          <a:off x="22412" y="1933575"/>
          <a:ext cx="1777813"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14</xdr:row>
      <xdr:rowOff>11207</xdr:rowOff>
    </xdr:from>
    <xdr:to>
      <xdr:col>9</xdr:col>
      <xdr:colOff>0</xdr:colOff>
      <xdr:row>16</xdr:row>
      <xdr:rowOff>10705</xdr:rowOff>
    </xdr:to>
    <xdr:pic>
      <xdr:nvPicPr>
        <xdr:cNvPr id="11" name="Grafik 10">
          <a:hlinkClick xmlns:r="http://schemas.openxmlformats.org/officeDocument/2006/relationships" r:id="rId4"/>
          <a:extLst>
            <a:ext uri="{FF2B5EF4-FFF2-40B4-BE49-F238E27FC236}">
              <a16:creationId xmlns:a16="http://schemas.microsoft.com/office/drawing/2014/main" id="{93BCBAEB-994D-414A-BFB7-B2A768D705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2506757"/>
          <a:ext cx="1800224" cy="380498"/>
        </a:xfrm>
        <a:prstGeom prst="rect">
          <a:avLst/>
        </a:prstGeom>
      </xdr:spPr>
    </xdr:pic>
    <xdr:clientData/>
  </xdr:twoCellAnchor>
  <xdr:twoCellAnchor>
    <xdr:from>
      <xdr:col>0</xdr:col>
      <xdr:colOff>22412</xdr:colOff>
      <xdr:row>14</xdr:row>
      <xdr:rowOff>0</xdr:rowOff>
    </xdr:from>
    <xdr:to>
      <xdr:col>9</xdr:col>
      <xdr:colOff>0</xdr:colOff>
      <xdr:row>16</xdr:row>
      <xdr:rowOff>0</xdr:rowOff>
    </xdr:to>
    <xdr:sp macro="" textlink="">
      <xdr:nvSpPr>
        <xdr:cNvPr id="12" name="Rechteck: abgerundete Ecken 11">
          <a:extLst>
            <a:ext uri="{FF2B5EF4-FFF2-40B4-BE49-F238E27FC236}">
              <a16:creationId xmlns:a16="http://schemas.microsoft.com/office/drawing/2014/main" id="{0C9C1769-BCBA-487C-883E-E9922E645F06}"/>
            </a:ext>
          </a:extLst>
        </xdr:cNvPr>
        <xdr:cNvSpPr/>
      </xdr:nvSpPr>
      <xdr:spPr>
        <a:xfrm>
          <a:off x="22412" y="260032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17</xdr:row>
      <xdr:rowOff>30257</xdr:rowOff>
    </xdr:from>
    <xdr:to>
      <xdr:col>9</xdr:col>
      <xdr:colOff>0</xdr:colOff>
      <xdr:row>19</xdr:row>
      <xdr:rowOff>29755</xdr:rowOff>
    </xdr:to>
    <xdr:pic>
      <xdr:nvPicPr>
        <xdr:cNvPr id="13" name="Grafik 12">
          <a:hlinkClick xmlns:r="http://schemas.openxmlformats.org/officeDocument/2006/relationships" r:id="rId5"/>
          <a:extLst>
            <a:ext uri="{FF2B5EF4-FFF2-40B4-BE49-F238E27FC236}">
              <a16:creationId xmlns:a16="http://schemas.microsoft.com/office/drawing/2014/main" id="{B663EA26-BAB8-8A3A-90F7-C6C9A06B10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3097307"/>
          <a:ext cx="1800224" cy="380498"/>
        </a:xfrm>
        <a:prstGeom prst="rect">
          <a:avLst/>
        </a:prstGeom>
      </xdr:spPr>
    </xdr:pic>
    <xdr:clientData/>
  </xdr:twoCellAnchor>
  <xdr:twoCellAnchor>
    <xdr:from>
      <xdr:col>0</xdr:col>
      <xdr:colOff>22412</xdr:colOff>
      <xdr:row>17</xdr:row>
      <xdr:rowOff>28575</xdr:rowOff>
    </xdr:from>
    <xdr:to>
      <xdr:col>9</xdr:col>
      <xdr:colOff>0</xdr:colOff>
      <xdr:row>19</xdr:row>
      <xdr:rowOff>28575</xdr:rowOff>
    </xdr:to>
    <xdr:sp macro="" textlink="">
      <xdr:nvSpPr>
        <xdr:cNvPr id="14" name="Rechteck: abgerundete Ecken 13">
          <a:extLst>
            <a:ext uri="{FF2B5EF4-FFF2-40B4-BE49-F238E27FC236}">
              <a16:creationId xmlns:a16="http://schemas.microsoft.com/office/drawing/2014/main" id="{DF0E2136-1B93-64C3-15FA-9C510D7A5B22}"/>
            </a:ext>
          </a:extLst>
        </xdr:cNvPr>
        <xdr:cNvSpPr/>
      </xdr:nvSpPr>
      <xdr:spPr>
        <a:xfrm>
          <a:off x="22412" y="3095625"/>
          <a:ext cx="1777813"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19051</xdr:colOff>
      <xdr:row>11</xdr:row>
      <xdr:rowOff>11207</xdr:rowOff>
    </xdr:from>
    <xdr:to>
      <xdr:col>9</xdr:col>
      <xdr:colOff>19050</xdr:colOff>
      <xdr:row>13</xdr:row>
      <xdr:rowOff>10705</xdr:rowOff>
    </xdr:to>
    <xdr:pic>
      <xdr:nvPicPr>
        <xdr:cNvPr id="15" name="Grafik 14">
          <a:hlinkClick xmlns:r="http://schemas.openxmlformats.org/officeDocument/2006/relationships" r:id="rId3"/>
          <a:extLst>
            <a:ext uri="{FF2B5EF4-FFF2-40B4-BE49-F238E27FC236}">
              <a16:creationId xmlns:a16="http://schemas.microsoft.com/office/drawing/2014/main" id="{13FA39E3-FD18-B6F0-D89F-B0C8DA36F1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1" y="1935257"/>
          <a:ext cx="1800224" cy="380498"/>
        </a:xfrm>
        <a:prstGeom prst="rect">
          <a:avLst/>
        </a:prstGeom>
      </xdr:spPr>
    </xdr:pic>
    <xdr:clientData/>
  </xdr:twoCellAnchor>
  <xdr:twoCellAnchor editAs="oneCell">
    <xdr:from>
      <xdr:col>0</xdr:col>
      <xdr:colOff>0</xdr:colOff>
      <xdr:row>14</xdr:row>
      <xdr:rowOff>11207</xdr:rowOff>
    </xdr:from>
    <xdr:to>
      <xdr:col>8</xdr:col>
      <xdr:colOff>190499</xdr:colOff>
      <xdr:row>16</xdr:row>
      <xdr:rowOff>10705</xdr:rowOff>
    </xdr:to>
    <xdr:pic>
      <xdr:nvPicPr>
        <xdr:cNvPr id="16" name="Grafik 15">
          <a:hlinkClick xmlns:r="http://schemas.openxmlformats.org/officeDocument/2006/relationships" r:id="rId6"/>
          <a:extLst>
            <a:ext uri="{FF2B5EF4-FFF2-40B4-BE49-F238E27FC236}">
              <a16:creationId xmlns:a16="http://schemas.microsoft.com/office/drawing/2014/main" id="{7A52363B-6D69-F6B9-29DC-78E1EFA66C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06757"/>
          <a:ext cx="1800224" cy="380498"/>
        </a:xfrm>
        <a:prstGeom prst="rect">
          <a:avLst/>
        </a:prstGeom>
      </xdr:spPr>
    </xdr:pic>
    <xdr:clientData/>
  </xdr:twoCellAnchor>
  <xdr:twoCellAnchor editAs="oneCell">
    <xdr:from>
      <xdr:col>0</xdr:col>
      <xdr:colOff>0</xdr:colOff>
      <xdr:row>17</xdr:row>
      <xdr:rowOff>30257</xdr:rowOff>
    </xdr:from>
    <xdr:to>
      <xdr:col>8</xdr:col>
      <xdr:colOff>190499</xdr:colOff>
      <xdr:row>19</xdr:row>
      <xdr:rowOff>29755</xdr:rowOff>
    </xdr:to>
    <xdr:pic>
      <xdr:nvPicPr>
        <xdr:cNvPr id="17" name="Grafik 16">
          <a:hlinkClick xmlns:r="http://schemas.openxmlformats.org/officeDocument/2006/relationships" r:id="rId5"/>
          <a:extLst>
            <a:ext uri="{FF2B5EF4-FFF2-40B4-BE49-F238E27FC236}">
              <a16:creationId xmlns:a16="http://schemas.microsoft.com/office/drawing/2014/main" id="{20D92750-3D9C-7B8B-1140-D7C874EC0E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97307"/>
          <a:ext cx="1800224" cy="380498"/>
        </a:xfrm>
        <a:prstGeom prst="rect">
          <a:avLst/>
        </a:prstGeom>
      </xdr:spPr>
    </xdr:pic>
    <xdr:clientData/>
  </xdr:twoCellAnchor>
  <xdr:twoCellAnchor>
    <xdr:from>
      <xdr:col>14</xdr:col>
      <xdr:colOff>12887</xdr:colOff>
      <xdr:row>20</xdr:row>
      <xdr:rowOff>9525</xdr:rowOff>
    </xdr:from>
    <xdr:to>
      <xdr:col>15</xdr:col>
      <xdr:colOff>9525</xdr:colOff>
      <xdr:row>22</xdr:row>
      <xdr:rowOff>9525</xdr:rowOff>
    </xdr:to>
    <xdr:sp macro="" textlink="">
      <xdr:nvSpPr>
        <xdr:cNvPr id="3" name="Rechteck: abgerundete Ecken 2">
          <a:extLst>
            <a:ext uri="{FF2B5EF4-FFF2-40B4-BE49-F238E27FC236}">
              <a16:creationId xmlns:a16="http://schemas.microsoft.com/office/drawing/2014/main" id="{AA11E47E-EC63-4E5C-B8D8-BAED53367BB9}"/>
            </a:ext>
          </a:extLst>
        </xdr:cNvPr>
        <xdr:cNvSpPr/>
      </xdr:nvSpPr>
      <xdr:spPr>
        <a:xfrm>
          <a:off x="4765862" y="3648075"/>
          <a:ext cx="14253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14</xdr:col>
      <xdr:colOff>9525</xdr:colOff>
      <xdr:row>20</xdr:row>
      <xdr:rowOff>11207</xdr:rowOff>
    </xdr:from>
    <xdr:to>
      <xdr:col>15</xdr:col>
      <xdr:colOff>0</xdr:colOff>
      <xdr:row>22</xdr:row>
      <xdr:rowOff>10705</xdr:rowOff>
    </xdr:to>
    <xdr:pic>
      <xdr:nvPicPr>
        <xdr:cNvPr id="4" name="Grafik 3">
          <a:hlinkClick xmlns:r="http://schemas.openxmlformats.org/officeDocument/2006/relationships" r:id="rId7"/>
          <a:extLst>
            <a:ext uri="{FF2B5EF4-FFF2-40B4-BE49-F238E27FC236}">
              <a16:creationId xmlns:a16="http://schemas.microsoft.com/office/drawing/2014/main" id="{47B5AC0E-71F5-4B52-B133-DE47CE0367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00" y="3649757"/>
          <a:ext cx="1409700" cy="380498"/>
        </a:xfrm>
        <a:prstGeom prst="rect">
          <a:avLst/>
        </a:prstGeom>
      </xdr:spPr>
    </xdr:pic>
    <xdr:clientData/>
  </xdr:twoCellAnchor>
  <xdr:twoCellAnchor>
    <xdr:from>
      <xdr:col>14</xdr:col>
      <xdr:colOff>459827</xdr:colOff>
      <xdr:row>19</xdr:row>
      <xdr:rowOff>131379</xdr:rowOff>
    </xdr:from>
    <xdr:to>
      <xdr:col>14</xdr:col>
      <xdr:colOff>788276</xdr:colOff>
      <xdr:row>19</xdr:row>
      <xdr:rowOff>131379</xdr:rowOff>
    </xdr:to>
    <xdr:cxnSp macro="">
      <xdr:nvCxnSpPr>
        <xdr:cNvPr id="18" name="Gerade Verbindung mit Pfeil 17">
          <a:extLst>
            <a:ext uri="{FF2B5EF4-FFF2-40B4-BE49-F238E27FC236}">
              <a16:creationId xmlns:a16="http://schemas.microsoft.com/office/drawing/2014/main" id="{20271D5F-AC39-74C2-E36D-50B49C2235DC}"/>
            </a:ext>
          </a:extLst>
        </xdr:cNvPr>
        <xdr:cNvCxnSpPr/>
      </xdr:nvCxnSpPr>
      <xdr:spPr>
        <a:xfrm flipH="1">
          <a:off x="4926724" y="3580086"/>
          <a:ext cx="32844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459827</xdr:colOff>
      <xdr:row>17</xdr:row>
      <xdr:rowOff>118241</xdr:rowOff>
    </xdr:from>
    <xdr:to>
      <xdr:col>14</xdr:col>
      <xdr:colOff>788276</xdr:colOff>
      <xdr:row>17</xdr:row>
      <xdr:rowOff>118241</xdr:rowOff>
    </xdr:to>
    <xdr:cxnSp macro="">
      <xdr:nvCxnSpPr>
        <xdr:cNvPr id="20" name="Gerade Verbindung mit Pfeil 19">
          <a:extLst>
            <a:ext uri="{FF2B5EF4-FFF2-40B4-BE49-F238E27FC236}">
              <a16:creationId xmlns:a16="http://schemas.microsoft.com/office/drawing/2014/main" id="{41C7AD55-EA53-0703-7344-95B027FCC91F}"/>
            </a:ext>
          </a:extLst>
        </xdr:cNvPr>
        <xdr:cNvCxnSpPr/>
      </xdr:nvCxnSpPr>
      <xdr:spPr>
        <a:xfrm flipH="1">
          <a:off x="4926724" y="3185948"/>
          <a:ext cx="32844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794844</xdr:colOff>
      <xdr:row>17</xdr:row>
      <xdr:rowOff>124810</xdr:rowOff>
    </xdr:from>
    <xdr:to>
      <xdr:col>14</xdr:col>
      <xdr:colOff>794844</xdr:colOff>
      <xdr:row>20</xdr:row>
      <xdr:rowOff>19707</xdr:rowOff>
    </xdr:to>
    <xdr:cxnSp macro="">
      <xdr:nvCxnSpPr>
        <xdr:cNvPr id="22" name="Gerader Verbinder 21">
          <a:extLst>
            <a:ext uri="{FF2B5EF4-FFF2-40B4-BE49-F238E27FC236}">
              <a16:creationId xmlns:a16="http://schemas.microsoft.com/office/drawing/2014/main" id="{7A5EF491-87E2-6E9A-CAF3-0392BF781C0E}"/>
            </a:ext>
          </a:extLst>
        </xdr:cNvPr>
        <xdr:cNvCxnSpPr/>
      </xdr:nvCxnSpPr>
      <xdr:spPr>
        <a:xfrm>
          <a:off x="5261741" y="3192517"/>
          <a:ext cx="0" cy="4663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18</xdr:col>
      <xdr:colOff>8004</xdr:colOff>
      <xdr:row>3</xdr:row>
      <xdr:rowOff>0</xdr:rowOff>
    </xdr:to>
    <xdr:sp macro="" textlink="">
      <xdr:nvSpPr>
        <xdr:cNvPr id="6" name="Rechteck: obere Ecken abgerundet 5">
          <a:extLst>
            <a:ext uri="{FF2B5EF4-FFF2-40B4-BE49-F238E27FC236}">
              <a16:creationId xmlns:a16="http://schemas.microsoft.com/office/drawing/2014/main" id="{194EE790-E496-4564-BB35-9E7392382DF0}"/>
            </a:ext>
          </a:extLst>
        </xdr:cNvPr>
        <xdr:cNvSpPr/>
      </xdr:nvSpPr>
      <xdr:spPr>
        <a:xfrm>
          <a:off x="0" y="0"/>
          <a:ext cx="8094729"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447262</xdr:colOff>
      <xdr:row>20</xdr:row>
      <xdr:rowOff>9967</xdr:rowOff>
    </xdr:from>
    <xdr:to>
      <xdr:col>15</xdr:col>
      <xdr:colOff>257374</xdr:colOff>
      <xdr:row>22</xdr:row>
      <xdr:rowOff>16565</xdr:rowOff>
    </xdr:to>
    <xdr:sp macro="" textlink="">
      <xdr:nvSpPr>
        <xdr:cNvPr id="2" name="Rechteck: abgerundete Ecken 1">
          <a:extLst>
            <a:ext uri="{FF2B5EF4-FFF2-40B4-BE49-F238E27FC236}">
              <a16:creationId xmlns:a16="http://schemas.microsoft.com/office/drawing/2014/main" id="{63F01003-CA92-44AF-8F67-F34093DABE67}"/>
            </a:ext>
          </a:extLst>
        </xdr:cNvPr>
        <xdr:cNvSpPr/>
      </xdr:nvSpPr>
      <xdr:spPr>
        <a:xfrm>
          <a:off x="2352262" y="3902793"/>
          <a:ext cx="3620112" cy="387598"/>
        </a:xfrm>
        <a:prstGeom prst="round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300" b="1" i="1"/>
        </a:p>
      </xdr:txBody>
    </xdr:sp>
    <xdr:clientData/>
  </xdr:twoCellAnchor>
  <xdr:twoCellAnchor>
    <xdr:from>
      <xdr:col>15</xdr:col>
      <xdr:colOff>257374</xdr:colOff>
      <xdr:row>21</xdr:row>
      <xdr:rowOff>13266</xdr:rowOff>
    </xdr:from>
    <xdr:to>
      <xdr:col>15</xdr:col>
      <xdr:colOff>264657</xdr:colOff>
      <xdr:row>23</xdr:row>
      <xdr:rowOff>9967</xdr:rowOff>
    </xdr:to>
    <xdr:cxnSp macro="">
      <xdr:nvCxnSpPr>
        <xdr:cNvPr id="3" name="Gerader Verbinder 2">
          <a:extLst>
            <a:ext uri="{FF2B5EF4-FFF2-40B4-BE49-F238E27FC236}">
              <a16:creationId xmlns:a16="http://schemas.microsoft.com/office/drawing/2014/main" id="{EB1F09D1-7460-4F07-AD60-FA50D3647D14}"/>
            </a:ext>
          </a:extLst>
        </xdr:cNvPr>
        <xdr:cNvCxnSpPr>
          <a:endCxn id="2" idx="3"/>
        </xdr:cNvCxnSpPr>
      </xdr:nvCxnSpPr>
      <xdr:spPr>
        <a:xfrm flipH="1" flipV="1">
          <a:off x="5972374" y="4096592"/>
          <a:ext cx="7283" cy="377701"/>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447675</xdr:colOff>
      <xdr:row>21</xdr:row>
      <xdr:rowOff>0</xdr:rowOff>
    </xdr:from>
    <xdr:to>
      <xdr:col>10</xdr:col>
      <xdr:colOff>457200</xdr:colOff>
      <xdr:row>23</xdr:row>
      <xdr:rowOff>9525</xdr:rowOff>
    </xdr:to>
    <xdr:cxnSp macro="">
      <xdr:nvCxnSpPr>
        <xdr:cNvPr id="4" name="Gerader Verbinder 3">
          <a:extLst>
            <a:ext uri="{FF2B5EF4-FFF2-40B4-BE49-F238E27FC236}">
              <a16:creationId xmlns:a16="http://schemas.microsoft.com/office/drawing/2014/main" id="{FEE7BD50-C0A9-4036-A6C1-8AE67F30AF93}"/>
            </a:ext>
          </a:extLst>
        </xdr:cNvPr>
        <xdr:cNvCxnSpPr/>
      </xdr:nvCxnSpPr>
      <xdr:spPr>
        <a:xfrm flipH="1" flipV="1">
          <a:off x="2352675" y="3667125"/>
          <a:ext cx="9525" cy="39052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22412</xdr:colOff>
      <xdr:row>7</xdr:row>
      <xdr:rowOff>9525</xdr:rowOff>
    </xdr:from>
    <xdr:to>
      <xdr:col>9</xdr:col>
      <xdr:colOff>0</xdr:colOff>
      <xdr:row>9</xdr:row>
      <xdr:rowOff>9525</xdr:rowOff>
    </xdr:to>
    <xdr:sp macro="" textlink="">
      <xdr:nvSpPr>
        <xdr:cNvPr id="5" name="Rechteck: abgerundete Ecken 4">
          <a:extLst>
            <a:ext uri="{FF2B5EF4-FFF2-40B4-BE49-F238E27FC236}">
              <a16:creationId xmlns:a16="http://schemas.microsoft.com/office/drawing/2014/main" id="{DAB4D020-4977-4AC5-8F83-A5BF4D70EA6F}"/>
            </a:ext>
          </a:extLst>
        </xdr:cNvPr>
        <xdr:cNvSpPr/>
      </xdr:nvSpPr>
      <xdr:spPr>
        <a:xfrm>
          <a:off x="22412" y="137160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11207</xdr:rowOff>
    </xdr:from>
    <xdr:to>
      <xdr:col>9</xdr:col>
      <xdr:colOff>0</xdr:colOff>
      <xdr:row>9</xdr:row>
      <xdr:rowOff>10705</xdr:rowOff>
    </xdr:to>
    <xdr:pic>
      <xdr:nvPicPr>
        <xdr:cNvPr id="6" name="Grafik 5">
          <a:hlinkClick xmlns:r="http://schemas.openxmlformats.org/officeDocument/2006/relationships" r:id="rId1"/>
          <a:extLst>
            <a:ext uri="{FF2B5EF4-FFF2-40B4-BE49-F238E27FC236}">
              <a16:creationId xmlns:a16="http://schemas.microsoft.com/office/drawing/2014/main" id="{596BAA31-8914-4155-A3E1-03374CFF77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73282"/>
          <a:ext cx="1714499" cy="380498"/>
        </a:xfrm>
        <a:prstGeom prst="rect">
          <a:avLst/>
        </a:prstGeom>
      </xdr:spPr>
    </xdr:pic>
    <xdr:clientData/>
  </xdr:twoCellAnchor>
  <xdr:twoCellAnchor>
    <xdr:from>
      <xdr:col>0</xdr:col>
      <xdr:colOff>22412</xdr:colOff>
      <xdr:row>10</xdr:row>
      <xdr:rowOff>9525</xdr:rowOff>
    </xdr:from>
    <xdr:to>
      <xdr:col>9</xdr:col>
      <xdr:colOff>0</xdr:colOff>
      <xdr:row>12</xdr:row>
      <xdr:rowOff>9525</xdr:rowOff>
    </xdr:to>
    <xdr:sp macro="" textlink="">
      <xdr:nvSpPr>
        <xdr:cNvPr id="10" name="Rechteck: abgerundete Ecken 9">
          <a:extLst>
            <a:ext uri="{FF2B5EF4-FFF2-40B4-BE49-F238E27FC236}">
              <a16:creationId xmlns:a16="http://schemas.microsoft.com/office/drawing/2014/main" id="{689B3F34-A224-4574-82A0-93F50E6461CA}"/>
            </a:ext>
          </a:extLst>
        </xdr:cNvPr>
        <xdr:cNvSpPr/>
      </xdr:nvSpPr>
      <xdr:spPr>
        <a:xfrm>
          <a:off x="22412" y="1952625"/>
          <a:ext cx="1692088" cy="409575"/>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13</xdr:row>
      <xdr:rowOff>0</xdr:rowOff>
    </xdr:from>
    <xdr:to>
      <xdr:col>9</xdr:col>
      <xdr:colOff>0</xdr:colOff>
      <xdr:row>15</xdr:row>
      <xdr:rowOff>0</xdr:rowOff>
    </xdr:to>
    <xdr:sp macro="" textlink="">
      <xdr:nvSpPr>
        <xdr:cNvPr id="20" name="Rechteck: abgerundete Ecken 19">
          <a:extLst>
            <a:ext uri="{FF2B5EF4-FFF2-40B4-BE49-F238E27FC236}">
              <a16:creationId xmlns:a16="http://schemas.microsoft.com/office/drawing/2014/main" id="{87DA5110-4B42-46F9-9EA8-B3B1A99E534B}"/>
            </a:ext>
          </a:extLst>
        </xdr:cNvPr>
        <xdr:cNvSpPr/>
      </xdr:nvSpPr>
      <xdr:spPr>
        <a:xfrm>
          <a:off x="22412" y="25431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16</xdr:row>
      <xdr:rowOff>0</xdr:rowOff>
    </xdr:from>
    <xdr:to>
      <xdr:col>9</xdr:col>
      <xdr:colOff>0</xdr:colOff>
      <xdr:row>18</xdr:row>
      <xdr:rowOff>0</xdr:rowOff>
    </xdr:to>
    <xdr:sp macro="" textlink="">
      <xdr:nvSpPr>
        <xdr:cNvPr id="22" name="Rechteck: abgerundete Ecken 21">
          <a:extLst>
            <a:ext uri="{FF2B5EF4-FFF2-40B4-BE49-F238E27FC236}">
              <a16:creationId xmlns:a16="http://schemas.microsoft.com/office/drawing/2014/main" id="{5D7D3A78-A14A-4B6A-8A4E-D0C76453B6C9}"/>
            </a:ext>
          </a:extLst>
        </xdr:cNvPr>
        <xdr:cNvSpPr/>
      </xdr:nvSpPr>
      <xdr:spPr>
        <a:xfrm>
          <a:off x="22412" y="3114675"/>
          <a:ext cx="1692088" cy="409575"/>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19051</xdr:colOff>
      <xdr:row>10</xdr:row>
      <xdr:rowOff>30257</xdr:rowOff>
    </xdr:from>
    <xdr:to>
      <xdr:col>9</xdr:col>
      <xdr:colOff>19050</xdr:colOff>
      <xdr:row>12</xdr:row>
      <xdr:rowOff>1180</xdr:rowOff>
    </xdr:to>
    <xdr:pic>
      <xdr:nvPicPr>
        <xdr:cNvPr id="23" name="Grafik 22">
          <a:hlinkClick xmlns:r="http://schemas.openxmlformats.org/officeDocument/2006/relationships" r:id="rId3"/>
          <a:extLst>
            <a:ext uri="{FF2B5EF4-FFF2-40B4-BE49-F238E27FC236}">
              <a16:creationId xmlns:a16="http://schemas.microsoft.com/office/drawing/2014/main" id="{156806BB-86AA-47D7-A9CB-E6380BE23C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1" y="1973357"/>
          <a:ext cx="1714499" cy="380498"/>
        </a:xfrm>
        <a:prstGeom prst="rect">
          <a:avLst/>
        </a:prstGeom>
      </xdr:spPr>
    </xdr:pic>
    <xdr:clientData/>
  </xdr:twoCellAnchor>
  <xdr:twoCellAnchor editAs="oneCell">
    <xdr:from>
      <xdr:col>0</xdr:col>
      <xdr:colOff>0</xdr:colOff>
      <xdr:row>13</xdr:row>
      <xdr:rowOff>11207</xdr:rowOff>
    </xdr:from>
    <xdr:to>
      <xdr:col>8</xdr:col>
      <xdr:colOff>190499</xdr:colOff>
      <xdr:row>15</xdr:row>
      <xdr:rowOff>10705</xdr:rowOff>
    </xdr:to>
    <xdr:pic>
      <xdr:nvPicPr>
        <xdr:cNvPr id="24" name="Grafik 23">
          <a:hlinkClick xmlns:r="http://schemas.openxmlformats.org/officeDocument/2006/relationships" r:id="rId4"/>
          <a:extLst>
            <a:ext uri="{FF2B5EF4-FFF2-40B4-BE49-F238E27FC236}">
              <a16:creationId xmlns:a16="http://schemas.microsoft.com/office/drawing/2014/main" id="{8AE5A0FA-078B-4D46-864A-EF245AD487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54382"/>
          <a:ext cx="1714499" cy="380498"/>
        </a:xfrm>
        <a:prstGeom prst="rect">
          <a:avLst/>
        </a:prstGeom>
      </xdr:spPr>
    </xdr:pic>
    <xdr:clientData/>
  </xdr:twoCellAnchor>
  <xdr:twoCellAnchor editAs="oneCell">
    <xdr:from>
      <xdr:col>0</xdr:col>
      <xdr:colOff>0</xdr:colOff>
      <xdr:row>16</xdr:row>
      <xdr:rowOff>20732</xdr:rowOff>
    </xdr:from>
    <xdr:to>
      <xdr:col>8</xdr:col>
      <xdr:colOff>190499</xdr:colOff>
      <xdr:row>18</xdr:row>
      <xdr:rowOff>20230</xdr:rowOff>
    </xdr:to>
    <xdr:pic>
      <xdr:nvPicPr>
        <xdr:cNvPr id="25" name="Grafik 24">
          <a:hlinkClick xmlns:r="http://schemas.openxmlformats.org/officeDocument/2006/relationships" r:id="rId5"/>
          <a:extLst>
            <a:ext uri="{FF2B5EF4-FFF2-40B4-BE49-F238E27FC236}">
              <a16:creationId xmlns:a16="http://schemas.microsoft.com/office/drawing/2014/main" id="{6BC4A71D-F9C6-4301-BB1B-298ABEA78C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35407"/>
          <a:ext cx="1714499" cy="380498"/>
        </a:xfrm>
        <a:prstGeom prst="rect">
          <a:avLst/>
        </a:prstGeom>
      </xdr:spPr>
    </xdr:pic>
    <xdr:clientData/>
  </xdr:twoCellAnchor>
  <xdr:twoCellAnchor>
    <xdr:from>
      <xdr:col>0</xdr:col>
      <xdr:colOff>0</xdr:colOff>
      <xdr:row>19</xdr:row>
      <xdr:rowOff>9525</xdr:rowOff>
    </xdr:from>
    <xdr:to>
      <xdr:col>9</xdr:col>
      <xdr:colOff>9524</xdr:colOff>
      <xdr:row>21</xdr:row>
      <xdr:rowOff>9525</xdr:rowOff>
    </xdr:to>
    <xdr:sp macro="" textlink="">
      <xdr:nvSpPr>
        <xdr:cNvPr id="15" name="Rechteck: abgerundete Ecken 14">
          <a:extLst>
            <a:ext uri="{FF2B5EF4-FFF2-40B4-BE49-F238E27FC236}">
              <a16:creationId xmlns:a16="http://schemas.microsoft.com/office/drawing/2014/main" id="{C814482A-FB20-4BDE-BE52-BD52F54C9D20}"/>
            </a:ext>
          </a:extLst>
        </xdr:cNvPr>
        <xdr:cNvSpPr/>
      </xdr:nvSpPr>
      <xdr:spPr>
        <a:xfrm>
          <a:off x="0" y="3724275"/>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19</xdr:row>
      <xdr:rowOff>11207</xdr:rowOff>
    </xdr:from>
    <xdr:to>
      <xdr:col>9</xdr:col>
      <xdr:colOff>0</xdr:colOff>
      <xdr:row>21</xdr:row>
      <xdr:rowOff>10705</xdr:rowOff>
    </xdr:to>
    <xdr:pic>
      <xdr:nvPicPr>
        <xdr:cNvPr id="16" name="Grafik 15">
          <a:hlinkClick xmlns:r="http://schemas.openxmlformats.org/officeDocument/2006/relationships" r:id="rId6"/>
          <a:extLst>
            <a:ext uri="{FF2B5EF4-FFF2-40B4-BE49-F238E27FC236}">
              <a16:creationId xmlns:a16="http://schemas.microsoft.com/office/drawing/2014/main" id="{BD8A19AF-20E4-4100-987D-213D83D787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725957"/>
          <a:ext cx="1714500" cy="380498"/>
        </a:xfrm>
        <a:prstGeom prst="rect">
          <a:avLst/>
        </a:prstGeom>
      </xdr:spPr>
    </xdr:pic>
    <xdr:clientData/>
  </xdr:twoCellAnchor>
  <xdr:twoCellAnchor>
    <xdr:from>
      <xdr:col>11</xdr:col>
      <xdr:colOff>333375</xdr:colOff>
      <xdr:row>59</xdr:row>
      <xdr:rowOff>180975</xdr:rowOff>
    </xdr:from>
    <xdr:to>
      <xdr:col>13</xdr:col>
      <xdr:colOff>371475</xdr:colOff>
      <xdr:row>62</xdr:row>
      <xdr:rowOff>28575</xdr:rowOff>
    </xdr:to>
    <xdr:sp macro="" textlink="">
      <xdr:nvSpPr>
        <xdr:cNvPr id="21" name="Rechteck: abgerundete Ecken 20">
          <a:extLst>
            <a:ext uri="{FF2B5EF4-FFF2-40B4-BE49-F238E27FC236}">
              <a16:creationId xmlns:a16="http://schemas.microsoft.com/office/drawing/2014/main" id="{B53F8631-CC99-EF66-BF6F-AAB1E7484DC0}"/>
            </a:ext>
          </a:extLst>
        </xdr:cNvPr>
        <xdr:cNvSpPr/>
      </xdr:nvSpPr>
      <xdr:spPr>
        <a:xfrm>
          <a:off x="3000375" y="10563225"/>
          <a:ext cx="1562100" cy="4191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11</xdr:col>
      <xdr:colOff>314325</xdr:colOff>
      <xdr:row>60</xdr:row>
      <xdr:rowOff>11207</xdr:rowOff>
    </xdr:from>
    <xdr:to>
      <xdr:col>13</xdr:col>
      <xdr:colOff>409574</xdr:colOff>
      <xdr:row>61</xdr:row>
      <xdr:rowOff>167588</xdr:rowOff>
    </xdr:to>
    <xdr:pic>
      <xdr:nvPicPr>
        <xdr:cNvPr id="26" name="Grafik 25">
          <a:hlinkClick xmlns:r="http://schemas.openxmlformats.org/officeDocument/2006/relationships" r:id="rId6"/>
          <a:extLst>
            <a:ext uri="{FF2B5EF4-FFF2-40B4-BE49-F238E27FC236}">
              <a16:creationId xmlns:a16="http://schemas.microsoft.com/office/drawing/2014/main" id="{7853A64D-73E3-1661-149F-F24566761F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81325" y="10583957"/>
          <a:ext cx="1619249" cy="380498"/>
        </a:xfrm>
        <a:prstGeom prst="rect">
          <a:avLst/>
        </a:prstGeom>
      </xdr:spPr>
    </xdr:pic>
    <xdr:clientData/>
  </xdr:twoCellAnchor>
  <xdr:twoCellAnchor>
    <xdr:from>
      <xdr:col>13</xdr:col>
      <xdr:colOff>57150</xdr:colOff>
      <xdr:row>16</xdr:row>
      <xdr:rowOff>124947</xdr:rowOff>
    </xdr:from>
    <xdr:to>
      <xdr:col>13</xdr:col>
      <xdr:colOff>57150</xdr:colOff>
      <xdr:row>17</xdr:row>
      <xdr:rowOff>134472</xdr:rowOff>
    </xdr:to>
    <xdr:cxnSp macro="">
      <xdr:nvCxnSpPr>
        <xdr:cNvPr id="13" name="Gerade Verbindung mit Pfeil 12">
          <a:extLst>
            <a:ext uri="{FF2B5EF4-FFF2-40B4-BE49-F238E27FC236}">
              <a16:creationId xmlns:a16="http://schemas.microsoft.com/office/drawing/2014/main" id="{1DA88788-6896-2E06-1CE9-56BB44D1AD0C}"/>
            </a:ext>
          </a:extLst>
        </xdr:cNvPr>
        <xdr:cNvCxnSpPr/>
      </xdr:nvCxnSpPr>
      <xdr:spPr>
        <a:xfrm>
          <a:off x="4248150" y="3251388"/>
          <a:ext cx="0" cy="2000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0</xdr:row>
      <xdr:rowOff>0</xdr:rowOff>
    </xdr:from>
    <xdr:to>
      <xdr:col>18</xdr:col>
      <xdr:colOff>1</xdr:colOff>
      <xdr:row>3</xdr:row>
      <xdr:rowOff>0</xdr:rowOff>
    </xdr:to>
    <xdr:sp macro="" textlink="">
      <xdr:nvSpPr>
        <xdr:cNvPr id="9" name="Rechteck: obere Ecken abgerundet 8">
          <a:extLst>
            <a:ext uri="{FF2B5EF4-FFF2-40B4-BE49-F238E27FC236}">
              <a16:creationId xmlns:a16="http://schemas.microsoft.com/office/drawing/2014/main" id="{DEEF4A35-C057-4743-96C5-0910E1525651}"/>
            </a:ext>
          </a:extLst>
        </xdr:cNvPr>
        <xdr:cNvSpPr/>
      </xdr:nvSpPr>
      <xdr:spPr>
        <a:xfrm>
          <a:off x="1" y="0"/>
          <a:ext cx="8001000"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2" name="Rechteck: abgerundete Ecken 1">
          <a:extLst>
            <a:ext uri="{FF2B5EF4-FFF2-40B4-BE49-F238E27FC236}">
              <a16:creationId xmlns:a16="http://schemas.microsoft.com/office/drawing/2014/main" id="{16D95FAD-2EF2-4731-A0F0-18BEADF87BDE}"/>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19050</xdr:colOff>
      <xdr:row>9</xdr:row>
      <xdr:rowOff>1180</xdr:rowOff>
    </xdr:to>
    <xdr:pic>
      <xdr:nvPicPr>
        <xdr:cNvPr id="3" name="Grafik 2">
          <a:hlinkClick xmlns:r="http://schemas.openxmlformats.org/officeDocument/2006/relationships" r:id="rId1"/>
          <a:extLst>
            <a:ext uri="{FF2B5EF4-FFF2-40B4-BE49-F238E27FC236}">
              <a16:creationId xmlns:a16="http://schemas.microsoft.com/office/drawing/2014/main" id="{A2C05CCC-9930-495C-A6DA-1982576E92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33549" cy="380498"/>
        </a:xfrm>
        <a:prstGeom prst="rect">
          <a:avLst/>
        </a:prstGeom>
      </xdr:spPr>
    </xdr:pic>
    <xdr:clientData/>
  </xdr:twoCellAnchor>
  <xdr:twoCellAnchor>
    <xdr:from>
      <xdr:col>0</xdr:col>
      <xdr:colOff>22412</xdr:colOff>
      <xdr:row>10</xdr:row>
      <xdr:rowOff>0</xdr:rowOff>
    </xdr:from>
    <xdr:to>
      <xdr:col>9</xdr:col>
      <xdr:colOff>0</xdr:colOff>
      <xdr:row>12</xdr:row>
      <xdr:rowOff>0</xdr:rowOff>
    </xdr:to>
    <xdr:sp macro="" textlink="">
      <xdr:nvSpPr>
        <xdr:cNvPr id="4" name="Rechteck: abgerundete Ecken 3">
          <a:extLst>
            <a:ext uri="{FF2B5EF4-FFF2-40B4-BE49-F238E27FC236}">
              <a16:creationId xmlns:a16="http://schemas.microsoft.com/office/drawing/2014/main" id="{E6789DB3-F364-41FE-BEDE-F7C3D96E4782}"/>
            </a:ext>
          </a:extLst>
        </xdr:cNvPr>
        <xdr:cNvSpPr/>
      </xdr:nvSpPr>
      <xdr:spPr>
        <a:xfrm>
          <a:off x="22412" y="19240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13</xdr:row>
      <xdr:rowOff>9525</xdr:rowOff>
    </xdr:from>
    <xdr:to>
      <xdr:col>9</xdr:col>
      <xdr:colOff>0</xdr:colOff>
      <xdr:row>15</xdr:row>
      <xdr:rowOff>9525</xdr:rowOff>
    </xdr:to>
    <xdr:sp macro="" textlink="">
      <xdr:nvSpPr>
        <xdr:cNvPr id="5" name="Rechteck: abgerundete Ecken 4">
          <a:extLst>
            <a:ext uri="{FF2B5EF4-FFF2-40B4-BE49-F238E27FC236}">
              <a16:creationId xmlns:a16="http://schemas.microsoft.com/office/drawing/2014/main" id="{E1DC94CA-2A76-4D80-ADEA-69D7C5DA744C}"/>
            </a:ext>
          </a:extLst>
        </xdr:cNvPr>
        <xdr:cNvSpPr/>
      </xdr:nvSpPr>
      <xdr:spPr>
        <a:xfrm>
          <a:off x="22412" y="25050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22412</xdr:colOff>
      <xdr:row>16</xdr:row>
      <xdr:rowOff>9525</xdr:rowOff>
    </xdr:from>
    <xdr:to>
      <xdr:col>9</xdr:col>
      <xdr:colOff>0</xdr:colOff>
      <xdr:row>18</xdr:row>
      <xdr:rowOff>9525</xdr:rowOff>
    </xdr:to>
    <xdr:sp macro="" textlink="">
      <xdr:nvSpPr>
        <xdr:cNvPr id="6" name="Rechteck: abgerundete Ecken 5">
          <a:extLst>
            <a:ext uri="{FF2B5EF4-FFF2-40B4-BE49-F238E27FC236}">
              <a16:creationId xmlns:a16="http://schemas.microsoft.com/office/drawing/2014/main" id="{C90159E8-11D0-4FE3-AAD1-995C2E0DA02C}"/>
            </a:ext>
          </a:extLst>
        </xdr:cNvPr>
        <xdr:cNvSpPr/>
      </xdr:nvSpPr>
      <xdr:spPr>
        <a:xfrm>
          <a:off x="22412" y="3076575"/>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19051</xdr:colOff>
      <xdr:row>10</xdr:row>
      <xdr:rowOff>11207</xdr:rowOff>
    </xdr:from>
    <xdr:to>
      <xdr:col>9</xdr:col>
      <xdr:colOff>38100</xdr:colOff>
      <xdr:row>12</xdr:row>
      <xdr:rowOff>10705</xdr:rowOff>
    </xdr:to>
    <xdr:pic>
      <xdr:nvPicPr>
        <xdr:cNvPr id="7" name="Grafik 6">
          <a:hlinkClick xmlns:r="http://schemas.openxmlformats.org/officeDocument/2006/relationships" r:id="rId3"/>
          <a:extLst>
            <a:ext uri="{FF2B5EF4-FFF2-40B4-BE49-F238E27FC236}">
              <a16:creationId xmlns:a16="http://schemas.microsoft.com/office/drawing/2014/main" id="{E4501587-2C63-4512-99CF-31BF941530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1" y="1935257"/>
          <a:ext cx="1733549" cy="380498"/>
        </a:xfrm>
        <a:prstGeom prst="rect">
          <a:avLst/>
        </a:prstGeom>
      </xdr:spPr>
    </xdr:pic>
    <xdr:clientData/>
  </xdr:twoCellAnchor>
  <xdr:twoCellAnchor editAs="oneCell">
    <xdr:from>
      <xdr:col>0</xdr:col>
      <xdr:colOff>0</xdr:colOff>
      <xdr:row>13</xdr:row>
      <xdr:rowOff>11207</xdr:rowOff>
    </xdr:from>
    <xdr:to>
      <xdr:col>9</xdr:col>
      <xdr:colOff>85724</xdr:colOff>
      <xdr:row>15</xdr:row>
      <xdr:rowOff>10705</xdr:rowOff>
    </xdr:to>
    <xdr:pic>
      <xdr:nvPicPr>
        <xdr:cNvPr id="8" name="Grafik 7">
          <a:hlinkClick xmlns:r="http://schemas.openxmlformats.org/officeDocument/2006/relationships" r:id="rId4"/>
          <a:extLst>
            <a:ext uri="{FF2B5EF4-FFF2-40B4-BE49-F238E27FC236}">
              <a16:creationId xmlns:a16="http://schemas.microsoft.com/office/drawing/2014/main" id="{1AF219D7-3617-47C5-855B-8EDB44A469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06757"/>
          <a:ext cx="1800224" cy="380498"/>
        </a:xfrm>
        <a:prstGeom prst="rect">
          <a:avLst/>
        </a:prstGeom>
      </xdr:spPr>
    </xdr:pic>
    <xdr:clientData/>
  </xdr:twoCellAnchor>
  <xdr:twoCellAnchor editAs="oneCell">
    <xdr:from>
      <xdr:col>0</xdr:col>
      <xdr:colOff>0</xdr:colOff>
      <xdr:row>16</xdr:row>
      <xdr:rowOff>1682</xdr:rowOff>
    </xdr:from>
    <xdr:to>
      <xdr:col>9</xdr:col>
      <xdr:colOff>19050</xdr:colOff>
      <xdr:row>18</xdr:row>
      <xdr:rowOff>1180</xdr:rowOff>
    </xdr:to>
    <xdr:pic>
      <xdr:nvPicPr>
        <xdr:cNvPr id="9" name="Grafik 8">
          <a:hlinkClick xmlns:r="http://schemas.openxmlformats.org/officeDocument/2006/relationships" r:id="rId5"/>
          <a:extLst>
            <a:ext uri="{FF2B5EF4-FFF2-40B4-BE49-F238E27FC236}">
              <a16:creationId xmlns:a16="http://schemas.microsoft.com/office/drawing/2014/main" id="{43EFDAC0-2C50-41A9-BD96-17C1307B49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68732"/>
          <a:ext cx="1733550" cy="380498"/>
        </a:xfrm>
        <a:prstGeom prst="rect">
          <a:avLst/>
        </a:prstGeom>
      </xdr:spPr>
    </xdr:pic>
    <xdr:clientData/>
  </xdr:twoCellAnchor>
  <xdr:twoCellAnchor>
    <xdr:from>
      <xdr:col>0</xdr:col>
      <xdr:colOff>0</xdr:colOff>
      <xdr:row>19</xdr:row>
      <xdr:rowOff>0</xdr:rowOff>
    </xdr:from>
    <xdr:to>
      <xdr:col>9</xdr:col>
      <xdr:colOff>9524</xdr:colOff>
      <xdr:row>21</xdr:row>
      <xdr:rowOff>0</xdr:rowOff>
    </xdr:to>
    <xdr:sp macro="" textlink="">
      <xdr:nvSpPr>
        <xdr:cNvPr id="10" name="Rechteck: abgerundete Ecken 9">
          <a:extLst>
            <a:ext uri="{FF2B5EF4-FFF2-40B4-BE49-F238E27FC236}">
              <a16:creationId xmlns:a16="http://schemas.microsoft.com/office/drawing/2014/main" id="{CA2B26B8-A1DA-44F1-9F36-7977699E2552}"/>
            </a:ext>
          </a:extLst>
        </xdr:cNvPr>
        <xdr:cNvSpPr/>
      </xdr:nvSpPr>
      <xdr:spPr>
        <a:xfrm>
          <a:off x="0" y="3638550"/>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0</xdr:colOff>
      <xdr:row>22</xdr:row>
      <xdr:rowOff>9525</xdr:rowOff>
    </xdr:from>
    <xdr:to>
      <xdr:col>8</xdr:col>
      <xdr:colOff>171450</xdr:colOff>
      <xdr:row>24</xdr:row>
      <xdr:rowOff>9525</xdr:rowOff>
    </xdr:to>
    <xdr:sp macro="" textlink="">
      <xdr:nvSpPr>
        <xdr:cNvPr id="11" name="Rechteck: abgerundete Ecken 10">
          <a:extLst>
            <a:ext uri="{FF2B5EF4-FFF2-40B4-BE49-F238E27FC236}">
              <a16:creationId xmlns:a16="http://schemas.microsoft.com/office/drawing/2014/main" id="{21ED021D-0C28-4618-9153-36C4B974C3FB}"/>
            </a:ext>
          </a:extLst>
        </xdr:cNvPr>
        <xdr:cNvSpPr/>
      </xdr:nvSpPr>
      <xdr:spPr>
        <a:xfrm>
          <a:off x="0" y="4219575"/>
          <a:ext cx="1695450"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22</xdr:row>
      <xdr:rowOff>9525</xdr:rowOff>
    </xdr:from>
    <xdr:to>
      <xdr:col>8</xdr:col>
      <xdr:colOff>180974</xdr:colOff>
      <xdr:row>24</xdr:row>
      <xdr:rowOff>9023</xdr:rowOff>
    </xdr:to>
    <xdr:pic>
      <xdr:nvPicPr>
        <xdr:cNvPr id="12" name="Grafik 11">
          <a:hlinkClick xmlns:r="http://schemas.openxmlformats.org/officeDocument/2006/relationships" r:id="rId6"/>
          <a:extLst>
            <a:ext uri="{FF2B5EF4-FFF2-40B4-BE49-F238E27FC236}">
              <a16:creationId xmlns:a16="http://schemas.microsoft.com/office/drawing/2014/main" id="{2648F26F-7FE1-4779-AFC8-89825C8171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19575"/>
          <a:ext cx="1704974" cy="380498"/>
        </a:xfrm>
        <a:prstGeom prst="rect">
          <a:avLst/>
        </a:prstGeom>
      </xdr:spPr>
    </xdr:pic>
    <xdr:clientData/>
  </xdr:twoCellAnchor>
  <xdr:twoCellAnchor editAs="oneCell">
    <xdr:from>
      <xdr:col>0</xdr:col>
      <xdr:colOff>0</xdr:colOff>
      <xdr:row>18</xdr:row>
      <xdr:rowOff>182657</xdr:rowOff>
    </xdr:from>
    <xdr:to>
      <xdr:col>9</xdr:col>
      <xdr:colOff>19050</xdr:colOff>
      <xdr:row>20</xdr:row>
      <xdr:rowOff>182155</xdr:rowOff>
    </xdr:to>
    <xdr:pic>
      <xdr:nvPicPr>
        <xdr:cNvPr id="13" name="Grafik 12">
          <a:hlinkClick xmlns:r="http://schemas.openxmlformats.org/officeDocument/2006/relationships" r:id="rId5"/>
          <a:extLst>
            <a:ext uri="{FF2B5EF4-FFF2-40B4-BE49-F238E27FC236}">
              <a16:creationId xmlns:a16="http://schemas.microsoft.com/office/drawing/2014/main" id="{44791FB5-C5D1-4E69-AD1F-CE65B51A59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630707"/>
          <a:ext cx="1733550" cy="380498"/>
        </a:xfrm>
        <a:prstGeom prst="rect">
          <a:avLst/>
        </a:prstGeom>
      </xdr:spPr>
    </xdr:pic>
    <xdr:clientData/>
  </xdr:twoCellAnchor>
  <xdr:twoCellAnchor>
    <xdr:from>
      <xdr:col>0</xdr:col>
      <xdr:colOff>0</xdr:colOff>
      <xdr:row>0</xdr:row>
      <xdr:rowOff>0</xdr:rowOff>
    </xdr:from>
    <xdr:to>
      <xdr:col>18</xdr:col>
      <xdr:colOff>9525</xdr:colOff>
      <xdr:row>3</xdr:row>
      <xdr:rowOff>4536</xdr:rowOff>
    </xdr:to>
    <xdr:sp macro="" textlink="">
      <xdr:nvSpPr>
        <xdr:cNvPr id="14" name="Rechteck: obere Ecken abgerundet 13">
          <a:extLst>
            <a:ext uri="{FF2B5EF4-FFF2-40B4-BE49-F238E27FC236}">
              <a16:creationId xmlns:a16="http://schemas.microsoft.com/office/drawing/2014/main" id="{416E15A6-521D-46C2-8605-20E4AF2455D7}"/>
            </a:ext>
          </a:extLst>
        </xdr:cNvPr>
        <xdr:cNvSpPr/>
      </xdr:nvSpPr>
      <xdr:spPr>
        <a:xfrm>
          <a:off x="0" y="0"/>
          <a:ext cx="8115300" cy="576036"/>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twoCellAnchor editAs="oneCell">
    <xdr:from>
      <xdr:col>10</xdr:col>
      <xdr:colOff>161925</xdr:colOff>
      <xdr:row>15</xdr:row>
      <xdr:rowOff>47625</xdr:rowOff>
    </xdr:from>
    <xdr:to>
      <xdr:col>11</xdr:col>
      <xdr:colOff>617427</xdr:colOff>
      <xdr:row>17</xdr:row>
      <xdr:rowOff>152400</xdr:rowOff>
    </xdr:to>
    <xdr:pic>
      <xdr:nvPicPr>
        <xdr:cNvPr id="15" name="Grafik 14">
          <a:extLst>
            <a:ext uri="{FF2B5EF4-FFF2-40B4-BE49-F238E27FC236}">
              <a16:creationId xmlns:a16="http://schemas.microsoft.com/office/drawing/2014/main" id="{EDED6356-6694-4E59-813F-2B935EF9E6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66925" y="2924175"/>
          <a:ext cx="1217502" cy="485775"/>
        </a:xfrm>
        <a:prstGeom prst="rect">
          <a:avLst/>
        </a:prstGeom>
      </xdr:spPr>
    </xdr:pic>
    <xdr:clientData/>
  </xdr:twoCellAnchor>
  <xdr:twoCellAnchor>
    <xdr:from>
      <xdr:col>10</xdr:col>
      <xdr:colOff>19050</xdr:colOff>
      <xdr:row>14</xdr:row>
      <xdr:rowOff>104774</xdr:rowOff>
    </xdr:from>
    <xdr:to>
      <xdr:col>11</xdr:col>
      <xdr:colOff>752475</xdr:colOff>
      <xdr:row>20</xdr:row>
      <xdr:rowOff>114299</xdr:rowOff>
    </xdr:to>
    <xdr:sp macro="" textlink="">
      <xdr:nvSpPr>
        <xdr:cNvPr id="16" name="Rechteck: abgerundete Ecken 15">
          <a:extLst>
            <a:ext uri="{FF2B5EF4-FFF2-40B4-BE49-F238E27FC236}">
              <a16:creationId xmlns:a16="http://schemas.microsoft.com/office/drawing/2014/main" id="{35D8B47B-C0B2-AE29-485D-544E2B1CA343}"/>
            </a:ext>
          </a:extLst>
        </xdr:cNvPr>
        <xdr:cNvSpPr/>
      </xdr:nvSpPr>
      <xdr:spPr>
        <a:xfrm>
          <a:off x="1924050" y="2790824"/>
          <a:ext cx="1495425"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xdr:from>
      <xdr:col>16</xdr:col>
      <xdr:colOff>19050</xdr:colOff>
      <xdr:row>14</xdr:row>
      <xdr:rowOff>104774</xdr:rowOff>
    </xdr:from>
    <xdr:to>
      <xdr:col>17</xdr:col>
      <xdr:colOff>742950</xdr:colOff>
      <xdr:row>20</xdr:row>
      <xdr:rowOff>114299</xdr:rowOff>
    </xdr:to>
    <xdr:sp macro="" textlink="">
      <xdr:nvSpPr>
        <xdr:cNvPr id="17" name="Rechteck: abgerundete Ecken 16">
          <a:extLst>
            <a:ext uri="{FF2B5EF4-FFF2-40B4-BE49-F238E27FC236}">
              <a16:creationId xmlns:a16="http://schemas.microsoft.com/office/drawing/2014/main" id="{F03C4BCD-60A8-73D8-3C98-5C2FAF73C482}"/>
            </a:ext>
          </a:extLst>
        </xdr:cNvPr>
        <xdr:cNvSpPr/>
      </xdr:nvSpPr>
      <xdr:spPr>
        <a:xfrm>
          <a:off x="6172200" y="2790824"/>
          <a:ext cx="1485900"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xdr:from>
      <xdr:col>13</xdr:col>
      <xdr:colOff>9525</xdr:colOff>
      <xdr:row>14</xdr:row>
      <xdr:rowOff>104774</xdr:rowOff>
    </xdr:from>
    <xdr:to>
      <xdr:col>14</xdr:col>
      <xdr:colOff>704850</xdr:colOff>
      <xdr:row>20</xdr:row>
      <xdr:rowOff>114299</xdr:rowOff>
    </xdr:to>
    <xdr:sp macro="" textlink="">
      <xdr:nvSpPr>
        <xdr:cNvPr id="18" name="Rechteck: abgerundete Ecken 17">
          <a:extLst>
            <a:ext uri="{FF2B5EF4-FFF2-40B4-BE49-F238E27FC236}">
              <a16:creationId xmlns:a16="http://schemas.microsoft.com/office/drawing/2014/main" id="{4F91D597-39D9-6408-F05E-3F4E731B9E11}"/>
            </a:ext>
          </a:extLst>
        </xdr:cNvPr>
        <xdr:cNvSpPr/>
      </xdr:nvSpPr>
      <xdr:spPr>
        <a:xfrm>
          <a:off x="3819525" y="2790824"/>
          <a:ext cx="1485900"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editAs="oneCell">
    <xdr:from>
      <xdr:col>13</xdr:col>
      <xdr:colOff>136076</xdr:colOff>
      <xdr:row>15</xdr:row>
      <xdr:rowOff>38100</xdr:rowOff>
    </xdr:from>
    <xdr:to>
      <xdr:col>14</xdr:col>
      <xdr:colOff>598797</xdr:colOff>
      <xdr:row>17</xdr:row>
      <xdr:rowOff>161925</xdr:rowOff>
    </xdr:to>
    <xdr:pic>
      <xdr:nvPicPr>
        <xdr:cNvPr id="19" name="Grafik 18">
          <a:extLst>
            <a:ext uri="{FF2B5EF4-FFF2-40B4-BE49-F238E27FC236}">
              <a16:creationId xmlns:a16="http://schemas.microsoft.com/office/drawing/2014/main" id="{394178A9-5965-4DD6-A327-5F7469ABD29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H="1">
          <a:off x="3946076" y="2914650"/>
          <a:ext cx="1224721" cy="504825"/>
        </a:xfrm>
        <a:prstGeom prst="rect">
          <a:avLst/>
        </a:prstGeom>
      </xdr:spPr>
    </xdr:pic>
    <xdr:clientData/>
  </xdr:twoCellAnchor>
  <xdr:twoCellAnchor editAs="oneCell">
    <xdr:from>
      <xdr:col>16</xdr:col>
      <xdr:colOff>106486</xdr:colOff>
      <xdr:row>15</xdr:row>
      <xdr:rowOff>38101</xdr:rowOff>
    </xdr:from>
    <xdr:to>
      <xdr:col>17</xdr:col>
      <xdr:colOff>666750</xdr:colOff>
      <xdr:row>17</xdr:row>
      <xdr:rowOff>171451</xdr:rowOff>
    </xdr:to>
    <xdr:pic>
      <xdr:nvPicPr>
        <xdr:cNvPr id="20" name="Grafik 19">
          <a:extLst>
            <a:ext uri="{FF2B5EF4-FFF2-40B4-BE49-F238E27FC236}">
              <a16:creationId xmlns:a16="http://schemas.microsoft.com/office/drawing/2014/main" id="{4B4C4D35-0F76-41E4-BB88-3F19587350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9636" y="2914651"/>
          <a:ext cx="1322264" cy="514350"/>
        </a:xfrm>
        <a:prstGeom prst="rect">
          <a:avLst/>
        </a:prstGeom>
      </xdr:spPr>
    </xdr:pic>
    <xdr:clientData/>
  </xdr:twoCellAnchor>
  <xdr:twoCellAnchor>
    <xdr:from>
      <xdr:col>10</xdr:col>
      <xdr:colOff>28575</xdr:colOff>
      <xdr:row>22</xdr:row>
      <xdr:rowOff>114299</xdr:rowOff>
    </xdr:from>
    <xdr:to>
      <xdr:col>12</xdr:col>
      <xdr:colOff>0</xdr:colOff>
      <xdr:row>28</xdr:row>
      <xdr:rowOff>123824</xdr:rowOff>
    </xdr:to>
    <xdr:sp macro="" textlink="">
      <xdr:nvSpPr>
        <xdr:cNvPr id="21" name="Rechteck: abgerundete Ecken 20">
          <a:extLst>
            <a:ext uri="{FF2B5EF4-FFF2-40B4-BE49-F238E27FC236}">
              <a16:creationId xmlns:a16="http://schemas.microsoft.com/office/drawing/2014/main" id="{88C0696D-9C51-2162-BFEF-6B5C9ECD899D}"/>
            </a:ext>
          </a:extLst>
        </xdr:cNvPr>
        <xdr:cNvSpPr/>
      </xdr:nvSpPr>
      <xdr:spPr>
        <a:xfrm>
          <a:off x="1933575" y="4324349"/>
          <a:ext cx="1495425"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xdr:from>
      <xdr:col>16</xdr:col>
      <xdr:colOff>19050</xdr:colOff>
      <xdr:row>22</xdr:row>
      <xdr:rowOff>114299</xdr:rowOff>
    </xdr:from>
    <xdr:to>
      <xdr:col>17</xdr:col>
      <xdr:colOff>742950</xdr:colOff>
      <xdr:row>28</xdr:row>
      <xdr:rowOff>123824</xdr:rowOff>
    </xdr:to>
    <xdr:sp macro="" textlink="">
      <xdr:nvSpPr>
        <xdr:cNvPr id="22" name="Rechteck: abgerundete Ecken 21">
          <a:extLst>
            <a:ext uri="{FF2B5EF4-FFF2-40B4-BE49-F238E27FC236}">
              <a16:creationId xmlns:a16="http://schemas.microsoft.com/office/drawing/2014/main" id="{97314306-1AD0-C39F-C6FF-14FFFFA88EA7}"/>
            </a:ext>
          </a:extLst>
        </xdr:cNvPr>
        <xdr:cNvSpPr/>
      </xdr:nvSpPr>
      <xdr:spPr>
        <a:xfrm>
          <a:off x="6172200" y="4324349"/>
          <a:ext cx="1485900"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xdr:from>
      <xdr:col>13</xdr:col>
      <xdr:colOff>28575</xdr:colOff>
      <xdr:row>22</xdr:row>
      <xdr:rowOff>114299</xdr:rowOff>
    </xdr:from>
    <xdr:to>
      <xdr:col>15</xdr:col>
      <xdr:colOff>9525</xdr:colOff>
      <xdr:row>28</xdr:row>
      <xdr:rowOff>123824</xdr:rowOff>
    </xdr:to>
    <xdr:sp macro="" textlink="">
      <xdr:nvSpPr>
        <xdr:cNvPr id="23" name="Rechteck: abgerundete Ecken 22">
          <a:extLst>
            <a:ext uri="{FF2B5EF4-FFF2-40B4-BE49-F238E27FC236}">
              <a16:creationId xmlns:a16="http://schemas.microsoft.com/office/drawing/2014/main" id="{26934186-F2A9-3B6E-64D4-EEEA90144B69}"/>
            </a:ext>
          </a:extLst>
        </xdr:cNvPr>
        <xdr:cNvSpPr/>
      </xdr:nvSpPr>
      <xdr:spPr>
        <a:xfrm>
          <a:off x="4029075" y="4324349"/>
          <a:ext cx="1457325" cy="1152525"/>
        </a:xfrm>
        <a:prstGeom prst="round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de-DE" sz="1100"/>
        </a:p>
      </xdr:txBody>
    </xdr:sp>
    <xdr:clientData/>
  </xdr:twoCellAnchor>
  <xdr:twoCellAnchor editAs="oneCell">
    <xdr:from>
      <xdr:col>16</xdr:col>
      <xdr:colOff>100692</xdr:colOff>
      <xdr:row>23</xdr:row>
      <xdr:rowOff>0</xdr:rowOff>
    </xdr:from>
    <xdr:to>
      <xdr:col>17</xdr:col>
      <xdr:colOff>685799</xdr:colOff>
      <xdr:row>25</xdr:row>
      <xdr:rowOff>152400</xdr:rowOff>
    </xdr:to>
    <xdr:pic>
      <xdr:nvPicPr>
        <xdr:cNvPr id="25" name="Grafik 24">
          <a:extLst>
            <a:ext uri="{FF2B5EF4-FFF2-40B4-BE49-F238E27FC236}">
              <a16:creationId xmlns:a16="http://schemas.microsoft.com/office/drawing/2014/main" id="{34B3D0A7-A221-9600-2CBB-4354CEA00BA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253842" y="4400550"/>
          <a:ext cx="1347107" cy="533400"/>
        </a:xfrm>
        <a:prstGeom prst="rect">
          <a:avLst/>
        </a:prstGeom>
      </xdr:spPr>
    </xdr:pic>
    <xdr:clientData/>
  </xdr:twoCellAnchor>
  <xdr:twoCellAnchor editAs="oneCell">
    <xdr:from>
      <xdr:col>13</xdr:col>
      <xdr:colOff>104774</xdr:colOff>
      <xdr:row>23</xdr:row>
      <xdr:rowOff>38100</xdr:rowOff>
    </xdr:from>
    <xdr:to>
      <xdr:col>14</xdr:col>
      <xdr:colOff>695325</xdr:colOff>
      <xdr:row>25</xdr:row>
      <xdr:rowOff>160001</xdr:rowOff>
    </xdr:to>
    <xdr:pic>
      <xdr:nvPicPr>
        <xdr:cNvPr id="29" name="Grafik 28">
          <a:extLst>
            <a:ext uri="{FF2B5EF4-FFF2-40B4-BE49-F238E27FC236}">
              <a16:creationId xmlns:a16="http://schemas.microsoft.com/office/drawing/2014/main" id="{CA042885-69D7-0379-98F1-0323EDEA01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05274" y="4438650"/>
          <a:ext cx="1352551" cy="502901"/>
        </a:xfrm>
        <a:prstGeom prst="rect">
          <a:avLst/>
        </a:prstGeom>
      </xdr:spPr>
    </xdr:pic>
    <xdr:clientData/>
  </xdr:twoCellAnchor>
  <xdr:twoCellAnchor editAs="oneCell">
    <xdr:from>
      <xdr:col>10</xdr:col>
      <xdr:colOff>95250</xdr:colOff>
      <xdr:row>23</xdr:row>
      <xdr:rowOff>0</xdr:rowOff>
    </xdr:from>
    <xdr:to>
      <xdr:col>11</xdr:col>
      <xdr:colOff>685800</xdr:colOff>
      <xdr:row>26</xdr:row>
      <xdr:rowOff>9525</xdr:rowOff>
    </xdr:to>
    <xdr:pic>
      <xdr:nvPicPr>
        <xdr:cNvPr id="31" name="Grafik 30">
          <a:extLst>
            <a:ext uri="{FF2B5EF4-FFF2-40B4-BE49-F238E27FC236}">
              <a16:creationId xmlns:a16="http://schemas.microsoft.com/office/drawing/2014/main" id="{481AD858-C416-5215-848F-844B001F0CE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000250" y="4400550"/>
          <a:ext cx="1352550" cy="581025"/>
        </a:xfrm>
        <a:prstGeom prst="rect">
          <a:avLst/>
        </a:prstGeom>
      </xdr:spPr>
    </xdr:pic>
    <xdr:clientData/>
  </xdr:twoCellAnchor>
  <xdr:twoCellAnchor editAs="oneCell">
    <xdr:from>
      <xdr:col>10</xdr:col>
      <xdr:colOff>28575</xdr:colOff>
      <xdr:row>14</xdr:row>
      <xdr:rowOff>114300</xdr:rowOff>
    </xdr:from>
    <xdr:to>
      <xdr:col>11</xdr:col>
      <xdr:colOff>752475</xdr:colOff>
      <xdr:row>20</xdr:row>
      <xdr:rowOff>105955</xdr:rowOff>
    </xdr:to>
    <xdr:pic>
      <xdr:nvPicPr>
        <xdr:cNvPr id="24" name="Grafik 23">
          <a:hlinkClick xmlns:r="http://schemas.openxmlformats.org/officeDocument/2006/relationships" r:id="rId13"/>
          <a:extLst>
            <a:ext uri="{FF2B5EF4-FFF2-40B4-BE49-F238E27FC236}">
              <a16:creationId xmlns:a16="http://schemas.microsoft.com/office/drawing/2014/main" id="{F1373570-9A92-B2D7-ED52-21CFFD1836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3575" y="2800350"/>
          <a:ext cx="1485900" cy="1134655"/>
        </a:xfrm>
        <a:prstGeom prst="rect">
          <a:avLst/>
        </a:prstGeom>
      </xdr:spPr>
    </xdr:pic>
    <xdr:clientData/>
  </xdr:twoCellAnchor>
  <xdr:twoCellAnchor editAs="oneCell">
    <xdr:from>
      <xdr:col>13</xdr:col>
      <xdr:colOff>0</xdr:colOff>
      <xdr:row>14</xdr:row>
      <xdr:rowOff>114300</xdr:rowOff>
    </xdr:from>
    <xdr:to>
      <xdr:col>15</xdr:col>
      <xdr:colOff>9525</xdr:colOff>
      <xdr:row>20</xdr:row>
      <xdr:rowOff>105955</xdr:rowOff>
    </xdr:to>
    <xdr:pic>
      <xdr:nvPicPr>
        <xdr:cNvPr id="26" name="Grafik 25">
          <a:hlinkClick xmlns:r="http://schemas.openxmlformats.org/officeDocument/2006/relationships" r:id="rId14"/>
          <a:extLst>
            <a:ext uri="{FF2B5EF4-FFF2-40B4-BE49-F238E27FC236}">
              <a16:creationId xmlns:a16="http://schemas.microsoft.com/office/drawing/2014/main" id="{0B395382-D270-8A9B-EF09-F70E6A8FF5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00" y="2800350"/>
          <a:ext cx="1485900" cy="1134655"/>
        </a:xfrm>
        <a:prstGeom prst="rect">
          <a:avLst/>
        </a:prstGeom>
      </xdr:spPr>
    </xdr:pic>
    <xdr:clientData/>
  </xdr:twoCellAnchor>
  <xdr:twoCellAnchor editAs="oneCell">
    <xdr:from>
      <xdr:col>16</xdr:col>
      <xdr:colOff>0</xdr:colOff>
      <xdr:row>14</xdr:row>
      <xdr:rowOff>114300</xdr:rowOff>
    </xdr:from>
    <xdr:to>
      <xdr:col>17</xdr:col>
      <xdr:colOff>723900</xdr:colOff>
      <xdr:row>20</xdr:row>
      <xdr:rowOff>105955</xdr:rowOff>
    </xdr:to>
    <xdr:pic>
      <xdr:nvPicPr>
        <xdr:cNvPr id="27" name="Grafik 26">
          <a:hlinkClick xmlns:r="http://schemas.openxmlformats.org/officeDocument/2006/relationships" r:id="rId15"/>
          <a:extLst>
            <a:ext uri="{FF2B5EF4-FFF2-40B4-BE49-F238E27FC236}">
              <a16:creationId xmlns:a16="http://schemas.microsoft.com/office/drawing/2014/main" id="{7F9DBB1C-DC50-2484-AE0F-6244A1A0FD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53150" y="2800350"/>
          <a:ext cx="1485900" cy="1134655"/>
        </a:xfrm>
        <a:prstGeom prst="rect">
          <a:avLst/>
        </a:prstGeom>
      </xdr:spPr>
    </xdr:pic>
    <xdr:clientData/>
  </xdr:twoCellAnchor>
  <xdr:twoCellAnchor editAs="oneCell">
    <xdr:from>
      <xdr:col>10</xdr:col>
      <xdr:colOff>28575</xdr:colOff>
      <xdr:row>22</xdr:row>
      <xdr:rowOff>123825</xdr:rowOff>
    </xdr:from>
    <xdr:to>
      <xdr:col>11</xdr:col>
      <xdr:colOff>752475</xdr:colOff>
      <xdr:row>28</xdr:row>
      <xdr:rowOff>115480</xdr:rowOff>
    </xdr:to>
    <xdr:pic>
      <xdr:nvPicPr>
        <xdr:cNvPr id="28" name="Grafik 27">
          <a:hlinkClick xmlns:r="http://schemas.openxmlformats.org/officeDocument/2006/relationships" r:id="rId16"/>
          <a:extLst>
            <a:ext uri="{FF2B5EF4-FFF2-40B4-BE49-F238E27FC236}">
              <a16:creationId xmlns:a16="http://schemas.microsoft.com/office/drawing/2014/main" id="{27115941-C27F-7C95-7E2F-6CA0C91E5E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3575" y="4333875"/>
          <a:ext cx="1485900" cy="1134655"/>
        </a:xfrm>
        <a:prstGeom prst="rect">
          <a:avLst/>
        </a:prstGeom>
      </xdr:spPr>
    </xdr:pic>
    <xdr:clientData/>
  </xdr:twoCellAnchor>
  <xdr:twoCellAnchor editAs="oneCell">
    <xdr:from>
      <xdr:col>13</xdr:col>
      <xdr:colOff>28574</xdr:colOff>
      <xdr:row>22</xdr:row>
      <xdr:rowOff>123825</xdr:rowOff>
    </xdr:from>
    <xdr:to>
      <xdr:col>15</xdr:col>
      <xdr:colOff>28574</xdr:colOff>
      <xdr:row>28</xdr:row>
      <xdr:rowOff>115480</xdr:rowOff>
    </xdr:to>
    <xdr:pic>
      <xdr:nvPicPr>
        <xdr:cNvPr id="30" name="Grafik 29">
          <a:hlinkClick xmlns:r="http://schemas.openxmlformats.org/officeDocument/2006/relationships" r:id="rId17"/>
          <a:extLst>
            <a:ext uri="{FF2B5EF4-FFF2-40B4-BE49-F238E27FC236}">
              <a16:creationId xmlns:a16="http://schemas.microsoft.com/office/drawing/2014/main" id="{C93C3BC4-1091-460F-BA86-F481DF32F9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29074" y="4333875"/>
          <a:ext cx="1476375" cy="1134655"/>
        </a:xfrm>
        <a:prstGeom prst="rect">
          <a:avLst/>
        </a:prstGeom>
      </xdr:spPr>
    </xdr:pic>
    <xdr:clientData/>
  </xdr:twoCellAnchor>
  <xdr:twoCellAnchor editAs="oneCell">
    <xdr:from>
      <xdr:col>16</xdr:col>
      <xdr:colOff>28574</xdr:colOff>
      <xdr:row>22</xdr:row>
      <xdr:rowOff>123825</xdr:rowOff>
    </xdr:from>
    <xdr:to>
      <xdr:col>17</xdr:col>
      <xdr:colOff>742949</xdr:colOff>
      <xdr:row>28</xdr:row>
      <xdr:rowOff>115480</xdr:rowOff>
    </xdr:to>
    <xdr:pic>
      <xdr:nvPicPr>
        <xdr:cNvPr id="32" name="Grafik 31">
          <a:hlinkClick xmlns:r="http://schemas.openxmlformats.org/officeDocument/2006/relationships" r:id="rId18"/>
          <a:extLst>
            <a:ext uri="{FF2B5EF4-FFF2-40B4-BE49-F238E27FC236}">
              <a16:creationId xmlns:a16="http://schemas.microsoft.com/office/drawing/2014/main" id="{910A00BF-6065-E2BB-611B-32C1C4272A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81724" y="4333875"/>
          <a:ext cx="1476375" cy="11346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2" name="Rechteck: abgerundete Ecken 1">
          <a:extLst>
            <a:ext uri="{FF2B5EF4-FFF2-40B4-BE49-F238E27FC236}">
              <a16:creationId xmlns:a16="http://schemas.microsoft.com/office/drawing/2014/main" id="{39CFB8C5-1C2D-470B-B520-C4E8CB0551CC}"/>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19050</xdr:colOff>
      <xdr:row>9</xdr:row>
      <xdr:rowOff>1180</xdr:rowOff>
    </xdr:to>
    <xdr:pic>
      <xdr:nvPicPr>
        <xdr:cNvPr id="3" name="Grafik 2">
          <a:hlinkClick xmlns:r="http://schemas.openxmlformats.org/officeDocument/2006/relationships" r:id="rId1"/>
          <a:extLst>
            <a:ext uri="{FF2B5EF4-FFF2-40B4-BE49-F238E27FC236}">
              <a16:creationId xmlns:a16="http://schemas.microsoft.com/office/drawing/2014/main" id="{7F149B39-4E7A-41D2-91AF-B7C6B32423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33549" cy="380498"/>
        </a:xfrm>
        <a:prstGeom prst="rect">
          <a:avLst/>
        </a:prstGeom>
      </xdr:spPr>
    </xdr:pic>
    <xdr:clientData/>
  </xdr:twoCellAnchor>
  <xdr:twoCellAnchor>
    <xdr:from>
      <xdr:col>0</xdr:col>
      <xdr:colOff>0</xdr:colOff>
      <xdr:row>10</xdr:row>
      <xdr:rowOff>9525</xdr:rowOff>
    </xdr:from>
    <xdr:to>
      <xdr:col>9</xdr:col>
      <xdr:colOff>9524</xdr:colOff>
      <xdr:row>12</xdr:row>
      <xdr:rowOff>9525</xdr:rowOff>
    </xdr:to>
    <xdr:sp macro="" textlink="">
      <xdr:nvSpPr>
        <xdr:cNvPr id="10" name="Rechteck: abgerundete Ecken 9">
          <a:extLst>
            <a:ext uri="{FF2B5EF4-FFF2-40B4-BE49-F238E27FC236}">
              <a16:creationId xmlns:a16="http://schemas.microsoft.com/office/drawing/2014/main" id="{31530F62-369A-43C2-817F-71BBF4D53DED}"/>
            </a:ext>
          </a:extLst>
        </xdr:cNvPr>
        <xdr:cNvSpPr/>
      </xdr:nvSpPr>
      <xdr:spPr>
        <a:xfrm>
          <a:off x="0" y="1933575"/>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10</xdr:row>
      <xdr:rowOff>11207</xdr:rowOff>
    </xdr:from>
    <xdr:to>
      <xdr:col>9</xdr:col>
      <xdr:colOff>19050</xdr:colOff>
      <xdr:row>12</xdr:row>
      <xdr:rowOff>10705</xdr:rowOff>
    </xdr:to>
    <xdr:pic>
      <xdr:nvPicPr>
        <xdr:cNvPr id="13" name="Grafik 12">
          <a:hlinkClick xmlns:r="http://schemas.openxmlformats.org/officeDocument/2006/relationships" r:id="rId3"/>
          <a:extLst>
            <a:ext uri="{FF2B5EF4-FFF2-40B4-BE49-F238E27FC236}">
              <a16:creationId xmlns:a16="http://schemas.microsoft.com/office/drawing/2014/main" id="{88CB4EFA-E770-451C-AD22-B7AE69FB6B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35257"/>
          <a:ext cx="1733550" cy="380498"/>
        </a:xfrm>
        <a:prstGeom prst="rect">
          <a:avLst/>
        </a:prstGeom>
      </xdr:spPr>
    </xdr:pic>
    <xdr:clientData/>
  </xdr:twoCellAnchor>
  <xdr:twoCellAnchor>
    <xdr:from>
      <xdr:col>0</xdr:col>
      <xdr:colOff>0</xdr:colOff>
      <xdr:row>0</xdr:row>
      <xdr:rowOff>0</xdr:rowOff>
    </xdr:from>
    <xdr:to>
      <xdr:col>17</xdr:col>
      <xdr:colOff>761999</xdr:colOff>
      <xdr:row>3</xdr:row>
      <xdr:rowOff>0</xdr:rowOff>
    </xdr:to>
    <xdr:sp macro="" textlink="">
      <xdr:nvSpPr>
        <xdr:cNvPr id="4" name="Rechteck: obere Ecken abgerundet 3">
          <a:extLst>
            <a:ext uri="{FF2B5EF4-FFF2-40B4-BE49-F238E27FC236}">
              <a16:creationId xmlns:a16="http://schemas.microsoft.com/office/drawing/2014/main" id="{9612792C-2E36-456C-85BD-ECAAF5300BD3}"/>
            </a:ext>
          </a:extLst>
        </xdr:cNvPr>
        <xdr:cNvSpPr/>
      </xdr:nvSpPr>
      <xdr:spPr>
        <a:xfrm>
          <a:off x="0" y="0"/>
          <a:ext cx="8105774"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2" name="Rechteck: abgerundete Ecken 1">
          <a:extLst>
            <a:ext uri="{FF2B5EF4-FFF2-40B4-BE49-F238E27FC236}">
              <a16:creationId xmlns:a16="http://schemas.microsoft.com/office/drawing/2014/main" id="{1C118304-3161-482C-B329-24E02CFCB4E9}"/>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19050</xdr:colOff>
      <xdr:row>9</xdr:row>
      <xdr:rowOff>1180</xdr:rowOff>
    </xdr:to>
    <xdr:pic>
      <xdr:nvPicPr>
        <xdr:cNvPr id="3" name="Grafik 2">
          <a:hlinkClick xmlns:r="http://schemas.openxmlformats.org/officeDocument/2006/relationships" r:id="rId1"/>
          <a:extLst>
            <a:ext uri="{FF2B5EF4-FFF2-40B4-BE49-F238E27FC236}">
              <a16:creationId xmlns:a16="http://schemas.microsoft.com/office/drawing/2014/main" id="{D12A7262-B752-499A-B6BA-E5F6D36A98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33549" cy="380498"/>
        </a:xfrm>
        <a:prstGeom prst="rect">
          <a:avLst/>
        </a:prstGeom>
      </xdr:spPr>
    </xdr:pic>
    <xdr:clientData/>
  </xdr:twoCellAnchor>
  <xdr:twoCellAnchor>
    <xdr:from>
      <xdr:col>0</xdr:col>
      <xdr:colOff>0</xdr:colOff>
      <xdr:row>10</xdr:row>
      <xdr:rowOff>9525</xdr:rowOff>
    </xdr:from>
    <xdr:to>
      <xdr:col>9</xdr:col>
      <xdr:colOff>9524</xdr:colOff>
      <xdr:row>12</xdr:row>
      <xdr:rowOff>9525</xdr:rowOff>
    </xdr:to>
    <xdr:sp macro="" textlink="">
      <xdr:nvSpPr>
        <xdr:cNvPr id="4" name="Rechteck: abgerundete Ecken 3">
          <a:extLst>
            <a:ext uri="{FF2B5EF4-FFF2-40B4-BE49-F238E27FC236}">
              <a16:creationId xmlns:a16="http://schemas.microsoft.com/office/drawing/2014/main" id="{D28A80CE-1C07-465B-9978-4F4746126755}"/>
            </a:ext>
          </a:extLst>
        </xdr:cNvPr>
        <xdr:cNvSpPr/>
      </xdr:nvSpPr>
      <xdr:spPr>
        <a:xfrm>
          <a:off x="0" y="1933575"/>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10</xdr:row>
      <xdr:rowOff>11207</xdr:rowOff>
    </xdr:from>
    <xdr:to>
      <xdr:col>9</xdr:col>
      <xdr:colOff>19050</xdr:colOff>
      <xdr:row>12</xdr:row>
      <xdr:rowOff>10705</xdr:rowOff>
    </xdr:to>
    <xdr:pic>
      <xdr:nvPicPr>
        <xdr:cNvPr id="5" name="Grafik 4">
          <a:hlinkClick xmlns:r="http://schemas.openxmlformats.org/officeDocument/2006/relationships" r:id="rId3"/>
          <a:extLst>
            <a:ext uri="{FF2B5EF4-FFF2-40B4-BE49-F238E27FC236}">
              <a16:creationId xmlns:a16="http://schemas.microsoft.com/office/drawing/2014/main" id="{17E94821-D54A-4CC9-ABFB-570396D6E6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35257"/>
          <a:ext cx="1733550" cy="380498"/>
        </a:xfrm>
        <a:prstGeom prst="rect">
          <a:avLst/>
        </a:prstGeom>
      </xdr:spPr>
    </xdr:pic>
    <xdr:clientData/>
  </xdr:twoCellAnchor>
  <xdr:twoCellAnchor>
    <xdr:from>
      <xdr:col>0</xdr:col>
      <xdr:colOff>0</xdr:colOff>
      <xdr:row>0</xdr:row>
      <xdr:rowOff>0</xdr:rowOff>
    </xdr:from>
    <xdr:to>
      <xdr:col>17</xdr:col>
      <xdr:colOff>761999</xdr:colOff>
      <xdr:row>3</xdr:row>
      <xdr:rowOff>0</xdr:rowOff>
    </xdr:to>
    <xdr:sp macro="" textlink="">
      <xdr:nvSpPr>
        <xdr:cNvPr id="6" name="Rechteck: obere Ecken abgerundet 5">
          <a:extLst>
            <a:ext uri="{FF2B5EF4-FFF2-40B4-BE49-F238E27FC236}">
              <a16:creationId xmlns:a16="http://schemas.microsoft.com/office/drawing/2014/main" id="{9AFBB37D-1112-47C0-86EF-F0B6F4FF908B}"/>
            </a:ext>
          </a:extLst>
        </xdr:cNvPr>
        <xdr:cNvSpPr/>
      </xdr:nvSpPr>
      <xdr:spPr>
        <a:xfrm>
          <a:off x="0" y="0"/>
          <a:ext cx="8105774"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2" name="Rechteck: abgerundete Ecken 1">
          <a:extLst>
            <a:ext uri="{FF2B5EF4-FFF2-40B4-BE49-F238E27FC236}">
              <a16:creationId xmlns:a16="http://schemas.microsoft.com/office/drawing/2014/main" id="{23C75F55-BA95-4B90-9B62-BABEA6C6FB02}"/>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19050</xdr:colOff>
      <xdr:row>9</xdr:row>
      <xdr:rowOff>1180</xdr:rowOff>
    </xdr:to>
    <xdr:pic>
      <xdr:nvPicPr>
        <xdr:cNvPr id="3" name="Grafik 2">
          <a:hlinkClick xmlns:r="http://schemas.openxmlformats.org/officeDocument/2006/relationships" r:id="rId1"/>
          <a:extLst>
            <a:ext uri="{FF2B5EF4-FFF2-40B4-BE49-F238E27FC236}">
              <a16:creationId xmlns:a16="http://schemas.microsoft.com/office/drawing/2014/main" id="{D245FDAE-42E0-4BA1-B937-EB3397CCC7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33549" cy="380498"/>
        </a:xfrm>
        <a:prstGeom prst="rect">
          <a:avLst/>
        </a:prstGeom>
      </xdr:spPr>
    </xdr:pic>
    <xdr:clientData/>
  </xdr:twoCellAnchor>
  <xdr:twoCellAnchor>
    <xdr:from>
      <xdr:col>0</xdr:col>
      <xdr:colOff>0</xdr:colOff>
      <xdr:row>10</xdr:row>
      <xdr:rowOff>0</xdr:rowOff>
    </xdr:from>
    <xdr:to>
      <xdr:col>9</xdr:col>
      <xdr:colOff>9524</xdr:colOff>
      <xdr:row>12</xdr:row>
      <xdr:rowOff>0</xdr:rowOff>
    </xdr:to>
    <xdr:sp macro="" textlink="">
      <xdr:nvSpPr>
        <xdr:cNvPr id="10" name="Rechteck: abgerundete Ecken 9">
          <a:extLst>
            <a:ext uri="{FF2B5EF4-FFF2-40B4-BE49-F238E27FC236}">
              <a16:creationId xmlns:a16="http://schemas.microsoft.com/office/drawing/2014/main" id="{E457294A-6A79-4481-A879-3846F30721FD}"/>
            </a:ext>
          </a:extLst>
        </xdr:cNvPr>
        <xdr:cNvSpPr/>
      </xdr:nvSpPr>
      <xdr:spPr>
        <a:xfrm>
          <a:off x="0" y="1924050"/>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10</xdr:row>
      <xdr:rowOff>1682</xdr:rowOff>
    </xdr:from>
    <xdr:to>
      <xdr:col>9</xdr:col>
      <xdr:colOff>19050</xdr:colOff>
      <xdr:row>12</xdr:row>
      <xdr:rowOff>1180</xdr:rowOff>
    </xdr:to>
    <xdr:pic>
      <xdr:nvPicPr>
        <xdr:cNvPr id="13" name="Grafik 12">
          <a:hlinkClick xmlns:r="http://schemas.openxmlformats.org/officeDocument/2006/relationships" r:id="rId3"/>
          <a:extLst>
            <a:ext uri="{FF2B5EF4-FFF2-40B4-BE49-F238E27FC236}">
              <a16:creationId xmlns:a16="http://schemas.microsoft.com/office/drawing/2014/main" id="{3250A528-BFF7-49C7-8E70-594FB74191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25732"/>
          <a:ext cx="1733550" cy="380498"/>
        </a:xfrm>
        <a:prstGeom prst="rect">
          <a:avLst/>
        </a:prstGeom>
      </xdr:spPr>
    </xdr:pic>
    <xdr:clientData/>
  </xdr:twoCellAnchor>
  <xdr:twoCellAnchor>
    <xdr:from>
      <xdr:col>0</xdr:col>
      <xdr:colOff>0</xdr:colOff>
      <xdr:row>0</xdr:row>
      <xdr:rowOff>0</xdr:rowOff>
    </xdr:from>
    <xdr:to>
      <xdr:col>17</xdr:col>
      <xdr:colOff>761999</xdr:colOff>
      <xdr:row>3</xdr:row>
      <xdr:rowOff>0</xdr:rowOff>
    </xdr:to>
    <xdr:sp macro="" textlink="">
      <xdr:nvSpPr>
        <xdr:cNvPr id="14" name="Rechteck: obere Ecken abgerundet 13">
          <a:extLst>
            <a:ext uri="{FF2B5EF4-FFF2-40B4-BE49-F238E27FC236}">
              <a16:creationId xmlns:a16="http://schemas.microsoft.com/office/drawing/2014/main" id="{0C222780-0B27-49D6-8EDF-F49FC6D55D5A}"/>
            </a:ext>
          </a:extLst>
        </xdr:cNvPr>
        <xdr:cNvSpPr/>
      </xdr:nvSpPr>
      <xdr:spPr>
        <a:xfrm>
          <a:off x="0" y="0"/>
          <a:ext cx="8105774"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2" name="Rechteck: abgerundete Ecken 1">
          <a:extLst>
            <a:ext uri="{FF2B5EF4-FFF2-40B4-BE49-F238E27FC236}">
              <a16:creationId xmlns:a16="http://schemas.microsoft.com/office/drawing/2014/main" id="{67CB8D1A-12E3-4ED8-AD62-5467125D738C}"/>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19050</xdr:colOff>
      <xdr:row>9</xdr:row>
      <xdr:rowOff>1180</xdr:rowOff>
    </xdr:to>
    <xdr:pic>
      <xdr:nvPicPr>
        <xdr:cNvPr id="3" name="Grafik 2">
          <a:hlinkClick xmlns:r="http://schemas.openxmlformats.org/officeDocument/2006/relationships" r:id="rId1"/>
          <a:extLst>
            <a:ext uri="{FF2B5EF4-FFF2-40B4-BE49-F238E27FC236}">
              <a16:creationId xmlns:a16="http://schemas.microsoft.com/office/drawing/2014/main" id="{35AD4D0D-7CFD-4FC9-B641-B4EC12625E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33549" cy="380498"/>
        </a:xfrm>
        <a:prstGeom prst="rect">
          <a:avLst/>
        </a:prstGeom>
      </xdr:spPr>
    </xdr:pic>
    <xdr:clientData/>
  </xdr:twoCellAnchor>
  <xdr:twoCellAnchor>
    <xdr:from>
      <xdr:col>0</xdr:col>
      <xdr:colOff>0</xdr:colOff>
      <xdr:row>10</xdr:row>
      <xdr:rowOff>0</xdr:rowOff>
    </xdr:from>
    <xdr:to>
      <xdr:col>9</xdr:col>
      <xdr:colOff>9524</xdr:colOff>
      <xdr:row>12</xdr:row>
      <xdr:rowOff>0</xdr:rowOff>
    </xdr:to>
    <xdr:sp macro="" textlink="">
      <xdr:nvSpPr>
        <xdr:cNvPr id="4" name="Rechteck: abgerundete Ecken 3">
          <a:extLst>
            <a:ext uri="{FF2B5EF4-FFF2-40B4-BE49-F238E27FC236}">
              <a16:creationId xmlns:a16="http://schemas.microsoft.com/office/drawing/2014/main" id="{3834AE83-CC88-4D80-B7DA-D06FF6E9967F}"/>
            </a:ext>
          </a:extLst>
        </xdr:cNvPr>
        <xdr:cNvSpPr/>
      </xdr:nvSpPr>
      <xdr:spPr>
        <a:xfrm>
          <a:off x="0" y="1924050"/>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10</xdr:row>
      <xdr:rowOff>1682</xdr:rowOff>
    </xdr:from>
    <xdr:to>
      <xdr:col>9</xdr:col>
      <xdr:colOff>19050</xdr:colOff>
      <xdr:row>12</xdr:row>
      <xdr:rowOff>1180</xdr:rowOff>
    </xdr:to>
    <xdr:pic>
      <xdr:nvPicPr>
        <xdr:cNvPr id="5" name="Grafik 4">
          <a:hlinkClick xmlns:r="http://schemas.openxmlformats.org/officeDocument/2006/relationships" r:id="rId3"/>
          <a:extLst>
            <a:ext uri="{FF2B5EF4-FFF2-40B4-BE49-F238E27FC236}">
              <a16:creationId xmlns:a16="http://schemas.microsoft.com/office/drawing/2014/main" id="{84A34803-453F-4305-AB91-7465DEE721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25732"/>
          <a:ext cx="1733550" cy="380498"/>
        </a:xfrm>
        <a:prstGeom prst="rect">
          <a:avLst/>
        </a:prstGeom>
      </xdr:spPr>
    </xdr:pic>
    <xdr:clientData/>
  </xdr:twoCellAnchor>
  <xdr:twoCellAnchor>
    <xdr:from>
      <xdr:col>0</xdr:col>
      <xdr:colOff>0</xdr:colOff>
      <xdr:row>0</xdr:row>
      <xdr:rowOff>0</xdr:rowOff>
    </xdr:from>
    <xdr:to>
      <xdr:col>17</xdr:col>
      <xdr:colOff>761999</xdr:colOff>
      <xdr:row>3</xdr:row>
      <xdr:rowOff>0</xdr:rowOff>
    </xdr:to>
    <xdr:sp macro="" textlink="">
      <xdr:nvSpPr>
        <xdr:cNvPr id="6" name="Rechteck: obere Ecken abgerundet 5">
          <a:extLst>
            <a:ext uri="{FF2B5EF4-FFF2-40B4-BE49-F238E27FC236}">
              <a16:creationId xmlns:a16="http://schemas.microsoft.com/office/drawing/2014/main" id="{DAACA789-02F8-413C-A92B-AC21952BB219}"/>
            </a:ext>
          </a:extLst>
        </xdr:cNvPr>
        <xdr:cNvSpPr/>
      </xdr:nvSpPr>
      <xdr:spPr>
        <a:xfrm>
          <a:off x="0" y="0"/>
          <a:ext cx="8105774"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22412</xdr:colOff>
      <xdr:row>7</xdr:row>
      <xdr:rowOff>0</xdr:rowOff>
    </xdr:from>
    <xdr:to>
      <xdr:col>9</xdr:col>
      <xdr:colOff>0</xdr:colOff>
      <xdr:row>9</xdr:row>
      <xdr:rowOff>0</xdr:rowOff>
    </xdr:to>
    <xdr:sp macro="" textlink="">
      <xdr:nvSpPr>
        <xdr:cNvPr id="2" name="Rechteck: abgerundete Ecken 1">
          <a:extLst>
            <a:ext uri="{FF2B5EF4-FFF2-40B4-BE49-F238E27FC236}">
              <a16:creationId xmlns:a16="http://schemas.microsoft.com/office/drawing/2014/main" id="{0BF4146D-544D-4DE9-947D-30C342EA6E80}"/>
            </a:ext>
          </a:extLst>
        </xdr:cNvPr>
        <xdr:cNvSpPr/>
      </xdr:nvSpPr>
      <xdr:spPr>
        <a:xfrm>
          <a:off x="22412" y="1352550"/>
          <a:ext cx="1692088"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7</xdr:row>
      <xdr:rowOff>1682</xdr:rowOff>
    </xdr:from>
    <xdr:to>
      <xdr:col>9</xdr:col>
      <xdr:colOff>19050</xdr:colOff>
      <xdr:row>9</xdr:row>
      <xdr:rowOff>1180</xdr:rowOff>
    </xdr:to>
    <xdr:pic>
      <xdr:nvPicPr>
        <xdr:cNvPr id="3" name="Grafik 2">
          <a:hlinkClick xmlns:r="http://schemas.openxmlformats.org/officeDocument/2006/relationships" r:id="rId1"/>
          <a:extLst>
            <a:ext uri="{FF2B5EF4-FFF2-40B4-BE49-F238E27FC236}">
              <a16:creationId xmlns:a16="http://schemas.microsoft.com/office/drawing/2014/main" id="{2BBDEB85-C4E3-48D9-A268-DB95973D52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354232"/>
          <a:ext cx="1733549" cy="380498"/>
        </a:xfrm>
        <a:prstGeom prst="rect">
          <a:avLst/>
        </a:prstGeom>
      </xdr:spPr>
    </xdr:pic>
    <xdr:clientData/>
  </xdr:twoCellAnchor>
  <xdr:twoCellAnchor>
    <xdr:from>
      <xdr:col>0</xdr:col>
      <xdr:colOff>0</xdr:colOff>
      <xdr:row>10</xdr:row>
      <xdr:rowOff>0</xdr:rowOff>
    </xdr:from>
    <xdr:to>
      <xdr:col>9</xdr:col>
      <xdr:colOff>9524</xdr:colOff>
      <xdr:row>12</xdr:row>
      <xdr:rowOff>0</xdr:rowOff>
    </xdr:to>
    <xdr:sp macro="" textlink="">
      <xdr:nvSpPr>
        <xdr:cNvPr id="4" name="Rechteck: abgerundete Ecken 3">
          <a:extLst>
            <a:ext uri="{FF2B5EF4-FFF2-40B4-BE49-F238E27FC236}">
              <a16:creationId xmlns:a16="http://schemas.microsoft.com/office/drawing/2014/main" id="{F3CF481D-45A2-4CC1-89AE-9B49B8E3155A}"/>
            </a:ext>
          </a:extLst>
        </xdr:cNvPr>
        <xdr:cNvSpPr/>
      </xdr:nvSpPr>
      <xdr:spPr>
        <a:xfrm>
          <a:off x="0" y="1924050"/>
          <a:ext cx="1724024" cy="381000"/>
        </a:xfrm>
        <a:prstGeom prst="round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10</xdr:row>
      <xdr:rowOff>1682</xdr:rowOff>
    </xdr:from>
    <xdr:to>
      <xdr:col>9</xdr:col>
      <xdr:colOff>19050</xdr:colOff>
      <xdr:row>12</xdr:row>
      <xdr:rowOff>1180</xdr:rowOff>
    </xdr:to>
    <xdr:pic>
      <xdr:nvPicPr>
        <xdr:cNvPr id="5" name="Grafik 4">
          <a:hlinkClick xmlns:r="http://schemas.openxmlformats.org/officeDocument/2006/relationships" r:id="rId3"/>
          <a:extLst>
            <a:ext uri="{FF2B5EF4-FFF2-40B4-BE49-F238E27FC236}">
              <a16:creationId xmlns:a16="http://schemas.microsoft.com/office/drawing/2014/main" id="{6D11459E-C902-414D-BA17-7550B41E0B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25732"/>
          <a:ext cx="1733550" cy="380498"/>
        </a:xfrm>
        <a:prstGeom prst="rect">
          <a:avLst/>
        </a:prstGeom>
      </xdr:spPr>
    </xdr:pic>
    <xdr:clientData/>
  </xdr:twoCellAnchor>
  <xdr:twoCellAnchor>
    <xdr:from>
      <xdr:col>0</xdr:col>
      <xdr:colOff>0</xdr:colOff>
      <xdr:row>0</xdr:row>
      <xdr:rowOff>0</xdr:rowOff>
    </xdr:from>
    <xdr:to>
      <xdr:col>17</xdr:col>
      <xdr:colOff>761999</xdr:colOff>
      <xdr:row>3</xdr:row>
      <xdr:rowOff>0</xdr:rowOff>
    </xdr:to>
    <xdr:sp macro="" textlink="">
      <xdr:nvSpPr>
        <xdr:cNvPr id="6" name="Rechteck: obere Ecken abgerundet 5">
          <a:extLst>
            <a:ext uri="{FF2B5EF4-FFF2-40B4-BE49-F238E27FC236}">
              <a16:creationId xmlns:a16="http://schemas.microsoft.com/office/drawing/2014/main" id="{50DBABC0-9A22-435C-BBB2-DA8D623CB6C4}"/>
            </a:ext>
          </a:extLst>
        </xdr:cNvPr>
        <xdr:cNvSpPr/>
      </xdr:nvSpPr>
      <xdr:spPr>
        <a:xfrm>
          <a:off x="0" y="0"/>
          <a:ext cx="8105774" cy="571500"/>
        </a:xfrm>
        <a:prstGeom prst="round2Same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endParaRPr lang="de-DE" sz="1600" b="1" i="1"/>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82BA7-8804-4441-9109-143BDA1A9A89}">
  <sheetPr>
    <tabColor theme="4" tint="-0.249977111117893"/>
  </sheetPr>
  <dimension ref="A1:R34"/>
  <sheetViews>
    <sheetView showGridLines="0" showRowColHeaders="0" tabSelected="1" zoomScaleNormal="100" workbookViewId="0">
      <selection activeCell="K7" sqref="K7:L7"/>
    </sheetView>
  </sheetViews>
  <sheetFormatPr baseColWidth="10" defaultRowHeight="15" x14ac:dyDescent="0.25"/>
  <cols>
    <col min="1" max="10" width="2.85546875" customWidth="1"/>
    <col min="19" max="19" width="1.42578125" customWidth="1"/>
  </cols>
  <sheetData>
    <row r="1" spans="1:18" x14ac:dyDescent="0.25">
      <c r="A1" s="85"/>
      <c r="B1" s="85"/>
      <c r="C1" s="85"/>
      <c r="D1" s="85"/>
      <c r="E1" s="85"/>
      <c r="F1" s="85"/>
      <c r="G1" s="85"/>
      <c r="H1" s="85"/>
      <c r="I1" s="85"/>
      <c r="J1" s="85"/>
      <c r="K1" s="86" t="str">
        <f>IF(K7="English","Fitness Plan and Weight Reduction by Mike Gordon Karrer",IF(K7="Español","Plan de acondicionamiento físico y reducción de peso por                Mike Gordon Karrer","Fitness-Plan und Gewichts-Reduktion von Mike Gordon Karrer"))</f>
        <v>Fitness-Plan und Gewichts-Reduktion von Mike Gordon Karrer</v>
      </c>
      <c r="L1" s="87"/>
      <c r="M1" s="87"/>
      <c r="N1" s="87"/>
      <c r="O1" s="87"/>
      <c r="P1" s="87"/>
      <c r="Q1" s="85"/>
      <c r="R1" s="85"/>
    </row>
    <row r="2" spans="1:18" x14ac:dyDescent="0.25">
      <c r="A2" s="85"/>
      <c r="B2" s="85"/>
      <c r="C2" s="85"/>
      <c r="D2" s="85"/>
      <c r="E2" s="85"/>
      <c r="F2" s="85"/>
      <c r="G2" s="85"/>
      <c r="H2" s="85"/>
      <c r="I2" s="85"/>
      <c r="J2" s="85"/>
      <c r="K2" s="87"/>
      <c r="L2" s="87"/>
      <c r="M2" s="87"/>
      <c r="N2" s="87"/>
      <c r="O2" s="87"/>
      <c r="P2" s="87"/>
      <c r="Q2" s="85"/>
      <c r="R2" s="85"/>
    </row>
    <row r="3" spans="1:18" x14ac:dyDescent="0.25">
      <c r="A3" s="85"/>
      <c r="B3" s="85"/>
      <c r="C3" s="85"/>
      <c r="D3" s="85"/>
      <c r="E3" s="85"/>
      <c r="F3" s="85"/>
      <c r="G3" s="85"/>
      <c r="H3" s="85"/>
      <c r="I3" s="85"/>
      <c r="J3" s="85"/>
      <c r="K3" s="87"/>
      <c r="L3" s="87"/>
      <c r="M3" s="87"/>
      <c r="N3" s="87"/>
      <c r="O3" s="87"/>
      <c r="P3" s="87"/>
      <c r="Q3" s="85"/>
      <c r="R3" s="85"/>
    </row>
    <row r="4" spans="1:18" ht="15.75" customHeight="1" x14ac:dyDescent="0.25">
      <c r="A4" s="92" t="str">
        <f ca="1">IF(K7="English",Programmdaten!U9&amp;". calendar week",IF(K7="Español","Calendario de la semana "&amp;Programmdaten!U9,Programmdaten!U9&amp;". Kalenderwoche"))</f>
        <v>33. Kalenderwoche</v>
      </c>
      <c r="B4" s="92"/>
      <c r="C4" s="92"/>
      <c r="D4" s="92"/>
      <c r="E4" s="92"/>
      <c r="F4" s="92"/>
      <c r="G4" s="33"/>
      <c r="H4" s="32"/>
      <c r="I4" s="32"/>
      <c r="J4" s="32"/>
      <c r="K4" s="91" t="str">
        <f>IF('Persönliche Daten'!M14="",IF(K7="English","A warm welcome to you!",IF(K7="Español","¡Una calurosa bienvenida!","Herzlich willkommen!")),IF(K7="English","A warm welcome to you, "&amp;'Persönliche Daten'!M14&amp;"!",IF(K7="Español","¡Una calurosa bienvenida, "&amp;'Persönliche Daten'!M14&amp;"!","Herzlich willkommen, "&amp;'Persönliche Daten'!M14&amp;"!")))</f>
        <v>Herzlich willkommen!</v>
      </c>
      <c r="L4" s="91"/>
      <c r="M4" s="91"/>
      <c r="N4" s="91"/>
      <c r="O4" s="91"/>
      <c r="P4" s="91"/>
      <c r="Q4" s="88">
        <f ca="1">IF(K7="English",YEAR(NOW())&amp;"-"&amp;MONTH(NOW())&amp;"-"&amp;DAY(NOW()),DATE(YEAR(NOW()),MONTH(NOW()),DAY(NOW())))</f>
        <v>45154</v>
      </c>
      <c r="R4" s="89"/>
    </row>
    <row r="5" spans="1:18" ht="15.75" x14ac:dyDescent="0.25">
      <c r="A5" s="92"/>
      <c r="B5" s="92"/>
      <c r="C5" s="92"/>
      <c r="D5" s="92"/>
      <c r="E5" s="92"/>
      <c r="F5" s="92"/>
      <c r="G5" s="33"/>
      <c r="H5" s="32"/>
      <c r="I5" s="32"/>
      <c r="J5" s="32"/>
      <c r="K5" s="91"/>
      <c r="L5" s="91"/>
      <c r="M5" s="91"/>
      <c r="N5" s="91"/>
      <c r="O5" s="91"/>
      <c r="P5" s="91"/>
      <c r="Q5" s="90" t="str">
        <f ca="1">IF(K7="English",TIME(HOUR(NOW()),MINUTE(NOW()),SECOND(NOW())),HOUR(NOW())&amp;":"&amp;MINUTE(NOW())&amp;" "&amp;IF(K7="Español","horas","Uhr"))</f>
        <v>19:34 Uhr</v>
      </c>
      <c r="R5" s="89"/>
    </row>
    <row r="6" spans="1:18" ht="7.5" customHeight="1" x14ac:dyDescent="0.25"/>
    <row r="7" spans="1:18" ht="15.75" x14ac:dyDescent="0.25">
      <c r="A7" s="77" t="str">
        <f>IF(K7="English","Please select your language:",IF(K7="Español","Por favor, elija su idioma:","Bitte wähle deine Sprache:"))</f>
        <v>Bitte wähle deine Sprache:</v>
      </c>
      <c r="B7" s="77"/>
      <c r="C7" s="77"/>
      <c r="D7" s="77"/>
      <c r="E7" s="77"/>
      <c r="F7" s="77"/>
      <c r="G7" s="77"/>
      <c r="H7" s="77"/>
      <c r="I7" s="77"/>
      <c r="J7" s="78"/>
      <c r="K7" s="75" t="s">
        <v>149</v>
      </c>
      <c r="L7" s="76"/>
    </row>
    <row r="8" spans="1:18" ht="7.5" customHeight="1" x14ac:dyDescent="0.25"/>
    <row r="9" spans="1:18" ht="15" customHeight="1" x14ac:dyDescent="0.25">
      <c r="B9" s="79" t="str">
        <f>IF(Start!K87="English","Start",IF(Start!K7="Español","Inicio","Start"))</f>
        <v>Start</v>
      </c>
      <c r="C9" s="79"/>
      <c r="D9" s="79"/>
      <c r="E9" s="79"/>
      <c r="F9" s="79"/>
      <c r="G9" s="79"/>
      <c r="H9" s="79"/>
    </row>
    <row r="10" spans="1:18" ht="15" customHeight="1" x14ac:dyDescent="0.25">
      <c r="B10" s="79"/>
      <c r="C10" s="79"/>
      <c r="D10" s="79"/>
      <c r="E10" s="79"/>
      <c r="F10" s="79"/>
      <c r="G10" s="79"/>
      <c r="H10" s="79"/>
    </row>
    <row r="11" spans="1:18" ht="15" customHeight="1" x14ac:dyDescent="0.25"/>
    <row r="12" spans="1:18" ht="18.75" customHeight="1" x14ac:dyDescent="0.25">
      <c r="A12" s="79" t="str">
        <f>IF(Start!K7="English","Personal data",IF(Start!K7="Español","Datos personales","Persönliche Daten"))</f>
        <v>Persönliche Daten</v>
      </c>
      <c r="B12" s="79"/>
      <c r="C12" s="79"/>
      <c r="D12" s="79"/>
      <c r="E12" s="79"/>
      <c r="F12" s="79"/>
      <c r="G12" s="79"/>
      <c r="H12" s="79"/>
      <c r="I12" s="79"/>
    </row>
    <row r="13" spans="1:18" ht="18.75" customHeight="1" x14ac:dyDescent="0.25">
      <c r="A13" s="79"/>
      <c r="B13" s="79"/>
      <c r="C13" s="79"/>
      <c r="D13" s="79"/>
      <c r="E13" s="79"/>
      <c r="F13" s="79"/>
      <c r="G13" s="79"/>
      <c r="H13" s="79"/>
      <c r="I13" s="79"/>
    </row>
    <row r="15" spans="1:18" ht="15" customHeight="1" x14ac:dyDescent="0.25">
      <c r="A15" s="79" t="str">
        <f>IF(Start!K7="English","Weight table",IF(Start!K7="Español","Tabla de pesos","Gewichtstabelle"))</f>
        <v>Gewichtstabelle</v>
      </c>
      <c r="B15" s="79"/>
      <c r="C15" s="79"/>
      <c r="D15" s="79"/>
      <c r="E15" s="79"/>
      <c r="F15" s="79"/>
      <c r="G15" s="79"/>
      <c r="H15" s="79"/>
      <c r="I15" s="79"/>
    </row>
    <row r="16" spans="1:18" ht="15" customHeight="1" x14ac:dyDescent="0.25">
      <c r="A16" s="79"/>
      <c r="B16" s="79"/>
      <c r="C16" s="79"/>
      <c r="D16" s="79"/>
      <c r="E16" s="79"/>
      <c r="F16" s="79"/>
      <c r="G16" s="79"/>
      <c r="H16" s="79"/>
      <c r="I16" s="79"/>
    </row>
    <row r="18" spans="1:16" x14ac:dyDescent="0.25">
      <c r="A18" s="83" t="s">
        <v>437</v>
      </c>
      <c r="B18" s="84"/>
      <c r="C18" s="84"/>
      <c r="D18" s="84"/>
      <c r="E18" s="84"/>
      <c r="F18" s="84"/>
      <c r="G18" s="84"/>
      <c r="H18" s="84"/>
      <c r="I18" s="84"/>
    </row>
    <row r="19" spans="1:16" x14ac:dyDescent="0.25">
      <c r="A19" s="84"/>
      <c r="B19" s="84"/>
      <c r="C19" s="84"/>
      <c r="D19" s="84"/>
      <c r="E19" s="84"/>
      <c r="F19" s="84"/>
      <c r="G19" s="84"/>
      <c r="H19" s="84"/>
      <c r="I19" s="84"/>
    </row>
    <row r="24" spans="1:16" ht="15" customHeight="1" x14ac:dyDescent="0.25">
      <c r="I24" s="20"/>
      <c r="J24" s="20"/>
      <c r="K24" s="20"/>
      <c r="L24" s="20"/>
      <c r="M24" s="20"/>
      <c r="N24" s="20"/>
    </row>
    <row r="25" spans="1:16" x14ac:dyDescent="0.25">
      <c r="H25" s="25"/>
      <c r="I25" s="25"/>
      <c r="J25" s="25"/>
      <c r="K25" s="25"/>
      <c r="L25" s="25"/>
      <c r="M25" s="25"/>
      <c r="N25" s="25"/>
      <c r="O25" s="25"/>
      <c r="P25" s="25"/>
    </row>
    <row r="27" spans="1:16" ht="45" customHeight="1" x14ac:dyDescent="0.25">
      <c r="I27" s="25"/>
      <c r="J27" s="25"/>
      <c r="K27" s="80" t="str">
        <f>IF(K7="English","If you don't have a destination in mind, no wind blows favorably enough for you to reach any port!",IF(K7="Español","Si no tienes un destino en mente, ¡no hay viento lo bastante favorable para que llegues a ningún puerto!","Wer kein Ziel vor Augen hat, für den weht kein Wind günstig genug, um irgend einen Hafen zu erreichen!"))</f>
        <v>Wer kein Ziel vor Augen hat, für den weht kein Wind günstig genug, um irgend einen Hafen zu erreichen!</v>
      </c>
      <c r="L27" s="81"/>
      <c r="M27" s="81"/>
      <c r="N27" s="81"/>
      <c r="O27" s="81"/>
      <c r="P27" s="82"/>
    </row>
    <row r="28" spans="1:16" x14ac:dyDescent="0.25">
      <c r="H28" s="25"/>
      <c r="I28" s="25"/>
      <c r="J28" s="25"/>
      <c r="K28" s="25"/>
      <c r="L28" s="25"/>
      <c r="M28" s="25"/>
      <c r="N28" s="25"/>
      <c r="O28" s="25"/>
      <c r="P28" s="25"/>
    </row>
    <row r="34" spans="1:18" x14ac:dyDescent="0.25">
      <c r="A34" s="17"/>
      <c r="B34" s="17"/>
      <c r="C34" s="17"/>
      <c r="D34" s="17"/>
      <c r="E34" s="17"/>
      <c r="F34" s="17"/>
      <c r="G34" s="17"/>
      <c r="H34" s="17"/>
      <c r="I34" s="17"/>
      <c r="J34" s="17"/>
      <c r="K34" s="17"/>
      <c r="L34" s="17"/>
      <c r="M34" s="17"/>
      <c r="N34" s="17"/>
      <c r="O34" s="17"/>
      <c r="P34" s="17"/>
      <c r="Q34" s="17"/>
      <c r="R34" s="17"/>
    </row>
  </sheetData>
  <mergeCells count="14">
    <mergeCell ref="A1:J3"/>
    <mergeCell ref="K1:P3"/>
    <mergeCell ref="Q1:R3"/>
    <mergeCell ref="Q4:R4"/>
    <mergeCell ref="Q5:R5"/>
    <mergeCell ref="K4:P5"/>
    <mergeCell ref="A4:F5"/>
    <mergeCell ref="K7:L7"/>
    <mergeCell ref="A7:J7"/>
    <mergeCell ref="B9:H10"/>
    <mergeCell ref="A12:I13"/>
    <mergeCell ref="K27:P27"/>
    <mergeCell ref="A15:I16"/>
    <mergeCell ref="A18:I19"/>
  </mergeCells>
  <dataValidations count="3">
    <dataValidation type="whole" allowBlank="1" showInputMessage="1" showErrorMessage="1" errorTitle="Achtung, Sabotage-Akt" error="Die Daten im dunkelblauen Bereich aktualisieren sich von selbst und bedürfen keiner manuellen Bearbeitung._x000a_Aber danke, dass du es trotzdem versucht hast!" sqref="A4 H4:J5" xr:uid="{207F2C3C-F01F-41AF-B800-68B8C2BE73A1}">
      <formula1>1.00000111000001E+39</formula1>
      <formula2>1.00000111000001E+39</formula2>
    </dataValidation>
    <dataValidation allowBlank="1" showInputMessage="1" showErrorMessage="1" errorTitle="Achtung, Sabotage-Akt" error="Die Daten im dunkelblauen Bereich aktualisieren sich von selbst und bedürfen keiner manuellen Bearbeitung._x000a_Aber danke, dass du es trotzdem versucht hast!" sqref="K4:R5" xr:uid="{87977690-E5B9-4036-95F5-69843805A3A7}"/>
    <dataValidation type="whole" allowBlank="1" showInputMessage="1" showErrorMessage="1" errorTitle="Achtung, Sabotage-Akt!" error="Du darfst hier nichts abändern!" sqref="K1:P3" xr:uid="{22C4EABB-E241-4C90-9C9B-C55876C7A260}">
      <formula1>1.00000002030004E+39</formula1>
      <formula2>1.00000002030004E+39</formula2>
    </dataValidation>
  </dataValidations>
  <pageMargins left="0.7" right="0.7" top="0.78740157499999996" bottom="0.78740157499999996"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1312002-16C8-40DC-82BB-1CACCA353CB1}">
          <x14:formula1>
            <xm:f>Programmdaten!$Y$63:$Y$65</xm:f>
          </x14:formula1>
          <xm:sqref>K7:L7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27ED6-EB1E-4CF6-BFAF-73DD0C46F707}">
  <dimension ref="A1:R43"/>
  <sheetViews>
    <sheetView topLeftCell="A7" zoomScaleNormal="100" workbookViewId="0">
      <selection activeCell="R16" sqref="R16:R17"/>
    </sheetView>
  </sheetViews>
  <sheetFormatPr baseColWidth="10" defaultRowHeight="15" x14ac:dyDescent="0.25"/>
  <cols>
    <col min="1" max="10" width="2.85546875" customWidth="1"/>
    <col min="11" max="11" width="11.42578125" customWidth="1"/>
    <col min="13" max="13" width="12.7109375" customWidth="1"/>
    <col min="14" max="14" width="11.85546875" customWidth="1"/>
    <col min="15" max="15" width="12.42578125" customWidth="1"/>
    <col min="16" max="16" width="10.28515625" customWidth="1"/>
    <col min="19" max="19" width="1.42578125" customWidth="1"/>
  </cols>
  <sheetData>
    <row r="1" spans="1:18" ht="15" customHeight="1" x14ac:dyDescent="0.25">
      <c r="A1" s="85"/>
      <c r="B1" s="85"/>
      <c r="C1" s="85"/>
      <c r="D1" s="85"/>
      <c r="E1" s="85"/>
      <c r="F1" s="85"/>
      <c r="G1" s="85"/>
      <c r="H1" s="85"/>
      <c r="I1" s="85"/>
      <c r="J1" s="85"/>
      <c r="K1" s="116" t="str">
        <f>IF(Start!K7="English","Sit-ups",IF(Start!K7="Español","Abdominales","Rumpfbeugen"))</f>
        <v>Rumpfbeugen</v>
      </c>
      <c r="L1" s="116"/>
      <c r="M1" s="116"/>
      <c r="N1" s="116"/>
      <c r="O1" s="116"/>
      <c r="P1" s="116"/>
      <c r="Q1" s="116"/>
    </row>
    <row r="2" spans="1:18" ht="15" customHeight="1" x14ac:dyDescent="0.25">
      <c r="A2" s="85"/>
      <c r="B2" s="85"/>
      <c r="C2" s="85"/>
      <c r="D2" s="85"/>
      <c r="E2" s="85"/>
      <c r="F2" s="85"/>
      <c r="G2" s="85"/>
      <c r="H2" s="85"/>
      <c r="I2" s="85"/>
      <c r="J2" s="85"/>
      <c r="K2" s="116"/>
      <c r="L2" s="116"/>
      <c r="M2" s="116"/>
      <c r="N2" s="116"/>
      <c r="O2" s="116"/>
      <c r="P2" s="116"/>
      <c r="Q2" s="116"/>
    </row>
    <row r="3" spans="1:18" x14ac:dyDescent="0.25">
      <c r="A3" s="85"/>
      <c r="B3" s="85"/>
      <c r="C3" s="85"/>
      <c r="D3" s="85"/>
      <c r="E3" s="85"/>
      <c r="F3" s="85"/>
      <c r="G3" s="85"/>
      <c r="H3" s="85"/>
      <c r="I3" s="85"/>
      <c r="J3" s="85"/>
      <c r="K3" s="116"/>
      <c r="L3" s="116"/>
      <c r="M3" s="116"/>
      <c r="N3" s="116"/>
      <c r="O3" s="116"/>
      <c r="P3" s="116"/>
      <c r="Q3" s="74"/>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8" spans="1:18" x14ac:dyDescent="0.25">
      <c r="B8" s="79" t="str">
        <f>IF(Start!K7="English","Start",IF(Start!K7="Español","Inicio","Start"))</f>
        <v>Start</v>
      </c>
      <c r="C8" s="79"/>
      <c r="D8" s="79"/>
      <c r="E8" s="79"/>
      <c r="F8" s="79"/>
      <c r="G8" s="79"/>
      <c r="H8" s="79"/>
      <c r="K8" s="171" t="str">
        <f>IF(Start!K7="English","Enter your completed sit-ups here. "&amp;"You should do 10 push-ups per day, but do them correctly!",IF(Start!K7="Español","Introduce aquí tus abdominales completadas. "&amp;" Debes acer 10 flexiones al día, ¡pero hazlas correctamente!","Trage hier deine absolvierten Rumpfbeugen ein."&amp;" 10 Stück pro Tag sollten es sein, diese aber korrekt ausgeführt!"))</f>
        <v>Trage hier deine absolvierten Rumpfbeugen ein. 10 Stück pro Tag sollten es sein, diese aber korrekt ausgeführt!</v>
      </c>
      <c r="L8" s="172"/>
      <c r="M8" s="172"/>
      <c r="N8" s="172"/>
      <c r="O8" s="172"/>
      <c r="P8" s="172"/>
      <c r="Q8" s="172"/>
      <c r="R8" s="173"/>
    </row>
    <row r="9" spans="1:18" x14ac:dyDescent="0.25">
      <c r="B9" s="79"/>
      <c r="C9" s="79"/>
      <c r="D9" s="79"/>
      <c r="E9" s="79"/>
      <c r="F9" s="79"/>
      <c r="G9" s="79"/>
      <c r="H9" s="79"/>
      <c r="K9" s="174"/>
      <c r="L9" s="175"/>
      <c r="M9" s="175"/>
      <c r="N9" s="175"/>
      <c r="O9" s="175"/>
      <c r="P9" s="175"/>
      <c r="Q9" s="175"/>
      <c r="R9" s="176"/>
    </row>
    <row r="11" spans="1:18" ht="15" customHeight="1" x14ac:dyDescent="0.25">
      <c r="A11" s="79" t="str">
        <f>IF(Start!K7="English","Fitness",IF(Start!K7="Español","Fitness","Fitness"))</f>
        <v>Fitness</v>
      </c>
      <c r="B11" s="84"/>
      <c r="C11" s="84"/>
      <c r="D11" s="84"/>
      <c r="E11" s="84"/>
      <c r="F11" s="84"/>
      <c r="G11" s="84"/>
      <c r="H11" s="84"/>
      <c r="I11" s="84"/>
      <c r="K11" s="183" t="str">
        <f>IF(Start!K7="English","Sunday",IF(Start!K7="Español","Domingo","Sonntag"))</f>
        <v>Sonntag</v>
      </c>
      <c r="L11" s="183" t="str">
        <f>IF(Start!K7="English","Monday",IF(Start!K7="Español","Lunes","Montag"))</f>
        <v>Montag</v>
      </c>
      <c r="M11" s="183" t="str">
        <f>IF(Start!K7="English","Tuesday",IF(Start!K7="Español","Martes","Dienstag"))</f>
        <v>Dienstag</v>
      </c>
      <c r="N11" s="183" t="str">
        <f>IF(Start!K7="English","Wednesday",IF(Start!K7="Español","Miércoles","Mittwoch"))</f>
        <v>Mittwoch</v>
      </c>
      <c r="O11" s="183" t="str">
        <f>IF(Start!K7="English","Thursday",IF(Start!K7="Español","Jueves","Donnerstag"))</f>
        <v>Donnerstag</v>
      </c>
      <c r="P11" s="183" t="str">
        <f>IF(Start!K7="English","Friday",IF(Start!K7="Español","Viernes","Freitag"))</f>
        <v>Freitag</v>
      </c>
      <c r="Q11" s="183" t="str">
        <f>IF(Start!K7="English","Saturday",IF(Start!K7="Español","Sábado","Samstag"))</f>
        <v>Samstag</v>
      </c>
      <c r="R11" s="184" t="str">
        <f>IF(Start!K7="English","Average",IF(Start!K7="Español","Media","Durchschnitt"))</f>
        <v>Durchschnitt</v>
      </c>
    </row>
    <row r="12" spans="1:18" ht="15" customHeight="1" x14ac:dyDescent="0.25">
      <c r="A12" s="84"/>
      <c r="B12" s="84"/>
      <c r="C12" s="84"/>
      <c r="D12" s="84"/>
      <c r="E12" s="84"/>
      <c r="F12" s="84"/>
      <c r="G12" s="84"/>
      <c r="H12" s="84"/>
      <c r="I12" s="84"/>
      <c r="K12" s="183"/>
      <c r="L12" s="183"/>
      <c r="M12" s="183"/>
      <c r="N12" s="183"/>
      <c r="O12" s="183"/>
      <c r="P12" s="183"/>
      <c r="Q12" s="183"/>
      <c r="R12" s="184"/>
    </row>
    <row r="13" spans="1:18" x14ac:dyDescent="0.25">
      <c r="M13" s="3"/>
      <c r="N13" s="3"/>
      <c r="O13" s="3"/>
    </row>
    <row r="14" spans="1:18" ht="15" customHeight="1" x14ac:dyDescent="0.25">
      <c r="A14" s="185" t="str">
        <f>IF(Start!K7="English","Directive",IF(Start!K7="Español","Directiva","Richtlinie"))</f>
        <v>Richtlinie</v>
      </c>
      <c r="B14" s="185"/>
      <c r="C14" s="185"/>
      <c r="D14" s="185"/>
      <c r="E14" s="185"/>
      <c r="F14" s="185"/>
      <c r="G14" s="185"/>
      <c r="H14" s="185"/>
      <c r="I14" s="185"/>
      <c r="J14" s="185"/>
      <c r="K14" s="197">
        <v>10</v>
      </c>
      <c r="L14" s="187">
        <f>K14</f>
        <v>10</v>
      </c>
      <c r="M14" s="187">
        <f>L14</f>
        <v>10</v>
      </c>
      <c r="N14" s="187">
        <f t="shared" ref="N14:R14" si="0">M14</f>
        <v>10</v>
      </c>
      <c r="O14" s="187">
        <f t="shared" si="0"/>
        <v>10</v>
      </c>
      <c r="P14" s="187">
        <f t="shared" si="0"/>
        <v>10</v>
      </c>
      <c r="Q14" s="187">
        <f t="shared" si="0"/>
        <v>10</v>
      </c>
      <c r="R14" s="187">
        <f t="shared" si="0"/>
        <v>10</v>
      </c>
    </row>
    <row r="15" spans="1:18" ht="15" customHeight="1" x14ac:dyDescent="0.25">
      <c r="A15" s="185"/>
      <c r="B15" s="185"/>
      <c r="C15" s="185"/>
      <c r="D15" s="185"/>
      <c r="E15" s="185"/>
      <c r="F15" s="185"/>
      <c r="G15" s="185"/>
      <c r="H15" s="185"/>
      <c r="I15" s="185"/>
      <c r="J15" s="185"/>
      <c r="K15" s="197"/>
      <c r="L15" s="187"/>
      <c r="M15" s="187"/>
      <c r="N15" s="187"/>
      <c r="O15" s="187"/>
      <c r="P15" s="187"/>
      <c r="Q15" s="187"/>
      <c r="R15" s="187"/>
    </row>
    <row r="16" spans="1:18" x14ac:dyDescent="0.25">
      <c r="A16" s="185" t="str">
        <f>IF(Start!K7="English","Sit-ups",IF(Start!K7="Español","Abdominales","Rumpfbeugen"))</f>
        <v>Rumpfbeugen</v>
      </c>
      <c r="B16" s="185"/>
      <c r="C16" s="185"/>
      <c r="D16" s="185"/>
      <c r="E16" s="185"/>
      <c r="F16" s="185"/>
      <c r="G16" s="185"/>
      <c r="H16" s="185"/>
      <c r="I16" s="185"/>
      <c r="J16" s="185"/>
      <c r="K16" s="188">
        <v>0</v>
      </c>
      <c r="L16" s="188">
        <v>0</v>
      </c>
      <c r="M16" s="188">
        <v>0</v>
      </c>
      <c r="N16" s="188">
        <v>0</v>
      </c>
      <c r="O16" s="188">
        <v>0</v>
      </c>
      <c r="P16" s="188">
        <v>0</v>
      </c>
      <c r="Q16" s="188">
        <v>0</v>
      </c>
      <c r="R16" s="195">
        <f>ROUNDUP((K16+L16+M16+N16+O16+P16+Q16)/7,0)</f>
        <v>0</v>
      </c>
    </row>
    <row r="17" spans="1:18" ht="15" customHeight="1" x14ac:dyDescent="0.25">
      <c r="A17" s="185"/>
      <c r="B17" s="185"/>
      <c r="C17" s="185"/>
      <c r="D17" s="185"/>
      <c r="E17" s="185"/>
      <c r="F17" s="185"/>
      <c r="G17" s="185"/>
      <c r="H17" s="185"/>
      <c r="I17" s="185"/>
      <c r="J17" s="185"/>
      <c r="K17" s="194"/>
      <c r="L17" s="194"/>
      <c r="M17" s="194"/>
      <c r="N17" s="194"/>
      <c r="O17" s="194"/>
      <c r="P17" s="194"/>
      <c r="Q17" s="194"/>
      <c r="R17" s="196"/>
    </row>
    <row r="18" spans="1:18" ht="15" customHeight="1" x14ac:dyDescent="0.25">
      <c r="A18" s="185" t="str">
        <f>IF(Start!K7="English","Percentage",IF(Start!K7="Español","Porcentaje","Prozentual"))</f>
        <v>Prozentual</v>
      </c>
      <c r="B18" s="185"/>
      <c r="C18" s="185"/>
      <c r="D18" s="185"/>
      <c r="E18" s="185"/>
      <c r="F18" s="185"/>
      <c r="G18" s="185"/>
      <c r="H18" s="185"/>
      <c r="I18" s="185"/>
      <c r="J18" s="185"/>
      <c r="K18" s="192" t="str">
        <f>ROUNDDOWN(100*K16/K14,2)&amp;" %"</f>
        <v>0 %</v>
      </c>
      <c r="L18" s="192" t="str">
        <f>ROUNDDOWN(100*L16/L14,2)&amp;" %"</f>
        <v>0 %</v>
      </c>
      <c r="M18" s="192" t="str">
        <f>ROUNDDOWN(100*M16/M14,2)&amp;" %"</f>
        <v>0 %</v>
      </c>
      <c r="N18" s="192" t="str">
        <f t="shared" ref="N18:R18" si="1">ROUNDDOWN(100*N16/N14,2)&amp;" %"</f>
        <v>0 %</v>
      </c>
      <c r="O18" s="192" t="str">
        <f t="shared" si="1"/>
        <v>0 %</v>
      </c>
      <c r="P18" s="192" t="str">
        <f t="shared" si="1"/>
        <v>0 %</v>
      </c>
      <c r="Q18" s="192" t="str">
        <f t="shared" si="1"/>
        <v>0 %</v>
      </c>
      <c r="R18" s="192" t="str">
        <f t="shared" si="1"/>
        <v>0 %</v>
      </c>
    </row>
    <row r="19" spans="1:18" x14ac:dyDescent="0.25">
      <c r="A19" s="185"/>
      <c r="B19" s="185"/>
      <c r="C19" s="185"/>
      <c r="D19" s="185"/>
      <c r="E19" s="185"/>
      <c r="F19" s="185"/>
      <c r="G19" s="185"/>
      <c r="H19" s="185"/>
      <c r="I19" s="185"/>
      <c r="J19" s="185"/>
      <c r="K19" s="198"/>
      <c r="L19" s="198"/>
      <c r="M19" s="198"/>
      <c r="N19" s="198"/>
      <c r="O19" s="198"/>
      <c r="P19" s="198"/>
      <c r="Q19" s="198"/>
      <c r="R19" s="198"/>
    </row>
    <row r="20" spans="1:18" x14ac:dyDescent="0.25">
      <c r="A20" s="145"/>
      <c r="B20" s="145"/>
      <c r="C20" s="145"/>
      <c r="D20" s="145"/>
      <c r="E20" s="145"/>
      <c r="F20" s="145"/>
      <c r="G20" s="145"/>
      <c r="H20" s="145"/>
      <c r="I20" s="145"/>
      <c r="J20" s="145"/>
    </row>
    <row r="21" spans="1:18" x14ac:dyDescent="0.25">
      <c r="A21" s="145"/>
      <c r="B21" s="145"/>
      <c r="C21" s="145"/>
      <c r="D21" s="145"/>
      <c r="E21" s="145"/>
      <c r="F21" s="145"/>
      <c r="G21" s="145"/>
      <c r="H21" s="145"/>
      <c r="I21" s="145"/>
      <c r="J21" s="145"/>
      <c r="M21" s="28"/>
    </row>
    <row r="22" spans="1:18" x14ac:dyDescent="0.25">
      <c r="N22" t="s">
        <v>0</v>
      </c>
    </row>
    <row r="23" spans="1:18" ht="15" customHeight="1" x14ac:dyDescent="0.25">
      <c r="A23" s="79"/>
      <c r="B23" s="84"/>
      <c r="C23" s="84"/>
      <c r="D23" s="84"/>
      <c r="E23" s="84"/>
      <c r="F23" s="84"/>
      <c r="G23" s="84"/>
      <c r="H23" s="84"/>
      <c r="I23" s="84"/>
      <c r="J23" s="9"/>
      <c r="K23" s="9"/>
      <c r="L23" s="9"/>
      <c r="M23" s="9"/>
      <c r="N23" s="9"/>
      <c r="O23" s="9"/>
      <c r="P23" s="9"/>
      <c r="Q23" s="9"/>
    </row>
    <row r="24" spans="1:18" ht="15" customHeight="1" x14ac:dyDescent="0.25">
      <c r="A24" s="84"/>
      <c r="B24" s="84"/>
      <c r="C24" s="84"/>
      <c r="D24" s="84"/>
      <c r="E24" s="84"/>
      <c r="F24" s="84"/>
      <c r="G24" s="84"/>
      <c r="H24" s="84"/>
      <c r="I24" s="84"/>
      <c r="J24" s="29"/>
      <c r="K24" s="29"/>
      <c r="L24" s="29"/>
      <c r="M24" s="29"/>
      <c r="N24" s="29"/>
      <c r="O24" s="29"/>
      <c r="P24" s="29"/>
      <c r="Q24" s="29"/>
    </row>
    <row r="25" spans="1:18" x14ac:dyDescent="0.25">
      <c r="E25" s="29"/>
      <c r="F25" s="29"/>
      <c r="G25" s="29"/>
      <c r="H25" s="29"/>
      <c r="I25" s="29"/>
      <c r="J25" s="29"/>
      <c r="K25" s="29"/>
      <c r="L25" s="29"/>
      <c r="M25" s="29"/>
      <c r="N25" s="29"/>
      <c r="O25" s="29"/>
      <c r="P25" s="29"/>
      <c r="Q25" s="29"/>
    </row>
    <row r="26" spans="1:18" x14ac:dyDescent="0.25">
      <c r="J26" s="29"/>
      <c r="K26" s="29"/>
      <c r="L26" s="29"/>
      <c r="M26" s="29"/>
      <c r="N26" s="29"/>
      <c r="O26" s="29"/>
      <c r="P26" s="29"/>
      <c r="Q26" s="29"/>
    </row>
    <row r="27" spans="1:18" x14ac:dyDescent="0.25">
      <c r="J27" s="29"/>
      <c r="K27" s="29"/>
      <c r="L27" s="29"/>
      <c r="M27" s="29"/>
      <c r="N27" s="29"/>
      <c r="O27" s="29"/>
      <c r="P27" s="29"/>
      <c r="Q27" s="29"/>
    </row>
    <row r="28" spans="1:18" x14ac:dyDescent="0.25">
      <c r="E28" s="29"/>
      <c r="F28" s="29"/>
      <c r="G28" s="29"/>
      <c r="H28" s="29"/>
      <c r="I28" s="29"/>
      <c r="J28" s="29"/>
      <c r="K28" s="29"/>
      <c r="L28" s="29"/>
      <c r="M28" s="29"/>
      <c r="N28" s="29"/>
      <c r="O28" s="29"/>
      <c r="P28" s="29"/>
      <c r="Q28" s="29"/>
    </row>
    <row r="29" spans="1:18" x14ac:dyDescent="0.25">
      <c r="A29" s="85"/>
      <c r="B29" s="85"/>
      <c r="C29" s="85"/>
      <c r="D29" s="85"/>
      <c r="E29" s="85"/>
      <c r="F29" s="85"/>
      <c r="G29" s="85"/>
      <c r="H29" s="85"/>
      <c r="I29" s="85"/>
      <c r="J29" s="29"/>
      <c r="K29" s="29"/>
      <c r="L29" s="29"/>
      <c r="M29" s="29"/>
      <c r="N29" s="29"/>
      <c r="O29" s="29"/>
      <c r="P29" s="29"/>
      <c r="Q29" s="29"/>
    </row>
    <row r="30" spans="1:18" x14ac:dyDescent="0.25">
      <c r="A30" s="85"/>
      <c r="B30" s="85"/>
      <c r="C30" s="85"/>
      <c r="D30" s="85"/>
      <c r="E30" s="85"/>
      <c r="F30" s="85"/>
      <c r="G30" s="85"/>
      <c r="H30" s="85"/>
      <c r="I30" s="85"/>
      <c r="J30" s="29"/>
      <c r="K30" s="29"/>
      <c r="L30" s="29"/>
      <c r="M30" s="29"/>
      <c r="N30" s="29"/>
      <c r="O30" s="29"/>
      <c r="P30" s="29"/>
      <c r="Q30" s="29"/>
    </row>
    <row r="31" spans="1:18" x14ac:dyDescent="0.25">
      <c r="E31" s="29"/>
      <c r="F31" s="29"/>
      <c r="G31" s="29"/>
      <c r="H31" s="29"/>
      <c r="I31" s="29"/>
      <c r="J31" s="29"/>
      <c r="K31" s="29"/>
      <c r="L31" s="29"/>
      <c r="M31" s="29"/>
      <c r="N31" s="29"/>
      <c r="O31" s="29"/>
      <c r="P31" s="29"/>
      <c r="Q31" s="29"/>
    </row>
    <row r="32" spans="1:18" x14ac:dyDescent="0.25">
      <c r="A32" s="85"/>
      <c r="B32" s="85"/>
      <c r="C32" s="85"/>
      <c r="D32" s="85"/>
      <c r="E32" s="85"/>
      <c r="F32" s="85"/>
      <c r="G32" s="85"/>
      <c r="H32" s="85"/>
      <c r="I32" s="85"/>
      <c r="J32" s="29"/>
      <c r="K32" s="29"/>
      <c r="L32" s="29"/>
      <c r="M32" s="29"/>
      <c r="N32" s="29"/>
      <c r="O32" s="29"/>
      <c r="P32" s="29"/>
      <c r="Q32" s="29"/>
    </row>
    <row r="33" spans="1:17" x14ac:dyDescent="0.25">
      <c r="A33" s="85"/>
      <c r="B33" s="85"/>
      <c r="C33" s="85"/>
      <c r="D33" s="85"/>
      <c r="E33" s="85"/>
      <c r="F33" s="85"/>
      <c r="G33" s="85"/>
      <c r="H33" s="85"/>
      <c r="I33" s="85"/>
      <c r="J33" s="29"/>
      <c r="K33" s="29"/>
      <c r="L33" s="29"/>
      <c r="M33" s="29"/>
      <c r="N33" s="29"/>
      <c r="O33" s="29"/>
      <c r="P33" s="29"/>
      <c r="Q33" s="29"/>
    </row>
    <row r="34" spans="1:17" x14ac:dyDescent="0.25">
      <c r="E34" s="29"/>
      <c r="F34" s="29"/>
      <c r="G34" s="29"/>
      <c r="H34" s="29"/>
      <c r="I34" s="29"/>
      <c r="J34" s="29"/>
      <c r="K34" s="29"/>
      <c r="L34" s="29"/>
      <c r="M34" s="29"/>
      <c r="N34" s="29"/>
      <c r="O34" s="29"/>
      <c r="P34" s="29"/>
      <c r="Q34" s="29"/>
    </row>
    <row r="35" spans="1:17" x14ac:dyDescent="0.25">
      <c r="A35" s="85"/>
      <c r="B35" s="85"/>
      <c r="C35" s="85"/>
      <c r="D35" s="85"/>
      <c r="E35" s="85"/>
      <c r="F35" s="85"/>
      <c r="G35" s="85"/>
      <c r="H35" s="85"/>
      <c r="I35" s="85"/>
      <c r="J35" s="29"/>
      <c r="K35" s="29"/>
      <c r="L35" s="29"/>
      <c r="M35" s="29"/>
      <c r="N35" s="29"/>
      <c r="O35" s="29"/>
      <c r="P35" s="29"/>
      <c r="Q35" s="29"/>
    </row>
    <row r="36" spans="1:17" x14ac:dyDescent="0.25">
      <c r="A36" s="85"/>
      <c r="B36" s="85"/>
      <c r="C36" s="85"/>
      <c r="D36" s="85"/>
      <c r="E36" s="85"/>
      <c r="F36" s="85"/>
      <c r="G36" s="85"/>
      <c r="H36" s="85"/>
      <c r="I36" s="85"/>
      <c r="J36" s="29"/>
      <c r="K36" s="29"/>
      <c r="L36" s="29"/>
      <c r="M36" s="29"/>
      <c r="N36" s="29"/>
      <c r="O36" s="29"/>
      <c r="P36" s="29"/>
      <c r="Q36" s="29"/>
    </row>
    <row r="37" spans="1:17" x14ac:dyDescent="0.25">
      <c r="E37" s="29"/>
      <c r="F37" s="29"/>
      <c r="G37" s="29"/>
      <c r="H37" s="29"/>
      <c r="I37" s="29"/>
      <c r="J37" s="29"/>
      <c r="K37" s="29"/>
      <c r="L37" s="29"/>
      <c r="M37" s="29"/>
      <c r="N37" s="29"/>
      <c r="O37" s="29"/>
      <c r="P37" s="29"/>
      <c r="Q37" s="29"/>
    </row>
    <row r="38" spans="1:17" x14ac:dyDescent="0.25">
      <c r="A38" s="85"/>
      <c r="B38" s="85"/>
      <c r="C38" s="85"/>
      <c r="D38" s="85"/>
      <c r="E38" s="85"/>
      <c r="F38" s="85"/>
      <c r="G38" s="85"/>
      <c r="H38" s="85"/>
      <c r="I38" s="85"/>
      <c r="J38" s="29"/>
      <c r="K38" s="29"/>
      <c r="L38" s="29"/>
      <c r="M38" s="29"/>
      <c r="N38" s="29"/>
      <c r="O38" s="29"/>
      <c r="P38" s="29"/>
      <c r="Q38" s="29"/>
    </row>
    <row r="39" spans="1:17" x14ac:dyDescent="0.25">
      <c r="A39" s="85"/>
      <c r="B39" s="85"/>
      <c r="C39" s="85"/>
      <c r="D39" s="85"/>
      <c r="E39" s="85"/>
      <c r="F39" s="85"/>
      <c r="G39" s="85"/>
      <c r="H39" s="85"/>
      <c r="I39" s="85"/>
      <c r="J39" s="29"/>
      <c r="K39" s="29"/>
      <c r="L39" s="29"/>
      <c r="M39" s="29"/>
      <c r="N39" s="29"/>
      <c r="O39" s="29"/>
      <c r="P39" s="29"/>
      <c r="Q39" s="29"/>
    </row>
    <row r="40" spans="1:17" x14ac:dyDescent="0.25">
      <c r="E40" s="29"/>
      <c r="F40" s="29"/>
      <c r="G40" s="29"/>
      <c r="H40" s="29"/>
      <c r="I40" s="29"/>
      <c r="J40" s="29"/>
      <c r="K40" s="29"/>
      <c r="L40" s="29"/>
      <c r="M40" s="29"/>
      <c r="N40" s="29"/>
      <c r="O40" s="29"/>
      <c r="P40" s="29"/>
      <c r="Q40" s="29"/>
    </row>
    <row r="41" spans="1:17" x14ac:dyDescent="0.25">
      <c r="E41" s="29"/>
      <c r="F41" s="29"/>
      <c r="G41" s="29"/>
      <c r="H41" s="29"/>
      <c r="I41" s="29"/>
      <c r="J41" s="29"/>
      <c r="K41" s="29"/>
      <c r="L41" s="29"/>
      <c r="M41" s="29"/>
      <c r="N41" s="29"/>
      <c r="O41" s="29"/>
      <c r="P41" s="29"/>
      <c r="Q41" s="29"/>
    </row>
    <row r="42" spans="1:17" x14ac:dyDescent="0.25">
      <c r="E42" s="10"/>
      <c r="F42" s="10"/>
      <c r="G42" s="10"/>
      <c r="H42" s="10"/>
      <c r="I42" s="10"/>
      <c r="J42" s="10"/>
      <c r="K42" s="10"/>
      <c r="L42" s="10"/>
      <c r="M42" s="10"/>
      <c r="N42" s="10"/>
      <c r="O42" s="10"/>
      <c r="P42" s="10"/>
      <c r="Q42" s="10"/>
    </row>
    <row r="43" spans="1:17" x14ac:dyDescent="0.25">
      <c r="E43" s="10"/>
      <c r="F43" s="10"/>
      <c r="G43" s="10"/>
      <c r="H43" s="10"/>
      <c r="I43" s="10"/>
      <c r="J43" s="10"/>
      <c r="K43" s="10"/>
      <c r="L43" s="10"/>
      <c r="M43" s="10"/>
      <c r="N43" s="10"/>
      <c r="O43" s="10"/>
      <c r="P43" s="10"/>
      <c r="Q43" s="10"/>
    </row>
  </sheetData>
  <mergeCells count="51">
    <mergeCell ref="A1:J3"/>
    <mergeCell ref="K1:P3"/>
    <mergeCell ref="Q1:Q2"/>
    <mergeCell ref="A4:J5"/>
    <mergeCell ref="K4:P5"/>
    <mergeCell ref="Q4:R4"/>
    <mergeCell ref="Q5:R5"/>
    <mergeCell ref="B8:H9"/>
    <mergeCell ref="K8:R9"/>
    <mergeCell ref="A11:I12"/>
    <mergeCell ref="K11:K12"/>
    <mergeCell ref="L11:L12"/>
    <mergeCell ref="M11:M12"/>
    <mergeCell ref="N11:N12"/>
    <mergeCell ref="O11:O12"/>
    <mergeCell ref="P11:P12"/>
    <mergeCell ref="Q11:Q12"/>
    <mergeCell ref="R11:R12"/>
    <mergeCell ref="A14:J15"/>
    <mergeCell ref="K14:K15"/>
    <mergeCell ref="L14:L15"/>
    <mergeCell ref="M14:M15"/>
    <mergeCell ref="N14:N15"/>
    <mergeCell ref="O14:O15"/>
    <mergeCell ref="P14:P15"/>
    <mergeCell ref="Q14:Q15"/>
    <mergeCell ref="R14:R15"/>
    <mergeCell ref="P16:P17"/>
    <mergeCell ref="Q16:Q17"/>
    <mergeCell ref="R16:R17"/>
    <mergeCell ref="A18:J19"/>
    <mergeCell ref="K18:K19"/>
    <mergeCell ref="L18:L19"/>
    <mergeCell ref="M18:M19"/>
    <mergeCell ref="N18:N19"/>
    <mergeCell ref="O18:O19"/>
    <mergeCell ref="P18:P19"/>
    <mergeCell ref="A16:J17"/>
    <mergeCell ref="K16:K17"/>
    <mergeCell ref="L16:L17"/>
    <mergeCell ref="M16:M17"/>
    <mergeCell ref="N16:N17"/>
    <mergeCell ref="O16:O17"/>
    <mergeCell ref="A35:I36"/>
    <mergeCell ref="A38:I39"/>
    <mergeCell ref="Q18:Q19"/>
    <mergeCell ref="R18:R19"/>
    <mergeCell ref="A20:J21"/>
    <mergeCell ref="A23:I24"/>
    <mergeCell ref="A29:I30"/>
    <mergeCell ref="A32:I33"/>
  </mergeCells>
  <dataValidations count="15">
    <dataValidation type="whole" allowBlank="1" showInputMessage="1" showErrorMessage="1" errorTitle="Achtungm Sabotage-Akt!" error="Die Daten aktualisieren sich von selbst und bedürfen keiner manuellen Nachbearbeitung. _x000a_Aber danke, dass du es trotzdem versucht hast!" sqref="R16:R17" xr:uid="{0BFB2166-C139-4BCA-8B9B-004917F1A173}">
      <formula1>1.00000000105046E+39</formula1>
      <formula2>1.00000000105046E+39</formula2>
    </dataValidation>
    <dataValidation type="whole" allowBlank="1" showInputMessage="1" showErrorMessage="1" errorTitle="Achtung, Sabotage-Akt" error="Die Daten aktualisieren sich von selbst und bedürfen keiner manuellen Nachbearbeitung._x000a_Aber danke, dass du es trotzdem versucht hast!" sqref="L14:R15 A18:R19" xr:uid="{F967B5F1-583C-44BB-A870-5AC86832BCC5}">
      <formula1>1.00000100203021E+39</formula1>
      <formula2>1.00000100203021E+39</formula2>
    </dataValidation>
    <dataValidation type="whole" allowBlank="1" showInputMessage="1" showErrorMessage="1" sqref="K16:Q17" xr:uid="{B5E9B47E-B7E3-4CD7-A54C-B68AB85FC8CD}">
      <formula1>0</formula1>
      <formula2>300</formula2>
    </dataValidation>
    <dataValidation type="whole" allowBlank="1" showInputMessage="1" showErrorMessage="1" errorTitle="Achtung, Sabotage-Akt" error="Die Daten aktualisieren sich von selbst und bedürfen keiner manuellen Nachbearbeitung._x000a_Aber danke, dass du es trotzdem versucht hast!" sqref="K11:Q12" xr:uid="{50FC01D5-01CA-4DF1-B5D4-24B7EC0A5429}">
      <formula1>1.00004564054032E+39</formula1>
      <formula2>1.00004564054032E+39</formula2>
    </dataValidation>
    <dataValidation type="whole" allowBlank="1" showInputMessage="1" showErrorMessage="1" errorTitle="Achtung, Sabotage-Akt" error="Die Daten aktualisieren sich von selbst und bedürfen keiner manuellen Nachbearbeitung._x000a_Aber danke, dass du es trotzdem versucht hast!" sqref="R11:R12" xr:uid="{C4036AB0-44C0-4892-AF44-CF3506623EAC}">
      <formula1>5.00050987065403E+39</formula1>
      <formula2>5.00050987065403E+39</formula2>
    </dataValidation>
    <dataValidation allowBlank="1" showInputMessage="1" showErrorMessage="1" errorTitle="Achtung, Sabotage-Akt" error="Du darfst hier nichts ändern, ergänzen oder gar löschen!" sqref="K1:P3" xr:uid="{4326C00D-9A5F-41FF-98C8-A9EABDAFE2BE}"/>
    <dataValidation allowBlank="1" errorTitle="Achtung, Sabotage-Akt!" error="Zellen, die grün markiert sind, eignen sich nicht zur Dateneingabe. Hier sind Formeln hinterlegt, welche nicht zerstört werden dürfen. Danke für dein Verständnis!" promptTitle="Wichtige Info!" prompt="Du darfst hier nichts eingeben, es wird alles automatisch berechnet!" sqref="M21" xr:uid="{3FAB72A0-EE7E-4251-986B-9035D3CABCEA}"/>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J23:Q41 E25:I25 E28:I28 E31:I31 E40:I41 E34:I34 E37:I37" xr:uid="{EAEEE5A0-12E2-47E3-ABC8-B8FAF715B6CF}">
      <formula1>1.00001001001E+39</formula1>
      <formula2>1.00001001001E+39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4:R4 A4:J5" xr:uid="{5B6CA284-639F-437A-8BD9-0359A2B42E71}">
      <formula1>1.0000101010101E+39</formula1>
      <formula2>1.0000101010101E+39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5:R5" xr:uid="{E1811817-D90C-44D6-B71D-F39A34499F04}">
      <formula1>4.0000050640321E+39</formula1>
      <formula2>4.0000050640321E+39</formula2>
    </dataValidation>
    <dataValidation type="whole" allowBlank="1" showInputMessage="1" showErrorMessage="1" errorTitle="Achtung, Sabotage-Akt" error="Die Daten aktualisieren sich von selbst und bedürfen keiner manuellen Nachbearbeitung._x000a_Aber danke, dass du es trotzdem versucht hast!" sqref="Q3" xr:uid="{AEB420AC-C5D7-4CA0-9C23-8ECE20EB8BE2}">
      <formula1>1.000000104506E+39</formula1>
      <formula2>1.000000104506E+39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K4:P5" xr:uid="{389079FC-72D8-4AA6-8A15-179163682830}">
      <formula1>2.0000021031015E+39</formula1>
      <formula2>2.0000021031015E+39</formula2>
    </dataValidation>
    <dataValidation type="whole" allowBlank="1" showInputMessage="1" showErrorMessage="1" errorTitle="Achtung, Sabotage-Akt" error="Die Daten aktualisieren sich von selbst und bedürfen keiner manuellen Nachbearbeitung._x000a_Aber danke, dass du es trotzdem versucht hast!" sqref="A14:J15" xr:uid="{82E7AC84-309B-46CE-8DC1-131DAE0A120E}">
      <formula1>1.00005006000201E+39</formula1>
      <formula2>1.00005006000201E+39</formula2>
    </dataValidation>
    <dataValidation type="whole" allowBlank="1" showInputMessage="1" showErrorMessage="1" errorTitle="Achtung, fehlerhafte Eingabe!" error="Deine Eingabe ist entweder lächerlich gering oder zu hochgegriffen! Versuche es mal mit Werten zwischen 2 und 300._x000a_" sqref="K14:K15" xr:uid="{C73F7792-36D1-4000-B1D7-04E2ADE27EA6}">
      <formula1>2</formula1>
      <formula2>300</formula2>
    </dataValidation>
    <dataValidation allowBlank="1" showInputMessage="1" showErrorMessage="1" errorTitle="Achtung, Sabotage-Akt" error="Die Daten aktualisieren sich von selbst und bedürfen keiner manuellen Nachbearbeitung._x000a_Aber danke, dass du es trotzdem versucht hast!" sqref="A16:J17" xr:uid="{1F4DF98C-DB2F-4CBA-872E-1F261D9C4F5B}"/>
  </dataValidations>
  <pageMargins left="0.7" right="0.7" top="0.78740157499999996" bottom="0.78740157499999996"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81E5-F84D-43FB-B7A8-28A844AB9907}">
  <dimension ref="A1:T73"/>
  <sheetViews>
    <sheetView showGridLines="0" showRowColHeaders="0" zoomScaleNormal="100" zoomScalePageLayoutView="85" workbookViewId="0">
      <selection sqref="A1:J3"/>
    </sheetView>
  </sheetViews>
  <sheetFormatPr baseColWidth="10" defaultRowHeight="15" x14ac:dyDescent="0.25"/>
  <cols>
    <col min="1" max="10" width="2.85546875" customWidth="1"/>
  </cols>
  <sheetData>
    <row r="1" spans="1:20" x14ac:dyDescent="0.25">
      <c r="A1" s="85"/>
      <c r="B1" s="85"/>
      <c r="C1" s="85"/>
      <c r="D1" s="85"/>
      <c r="E1" s="85"/>
      <c r="F1" s="85"/>
      <c r="G1" s="85"/>
      <c r="H1" s="85"/>
      <c r="I1" s="85"/>
      <c r="J1" s="85"/>
      <c r="K1" s="116" t="str">
        <f>IF(Start!K7="English","Your weight chart",IF(Start!K7="Español","Tu tabla de pesos","Deine Gewichts-Tabelle"))</f>
        <v>Deine Gewichts-Tabelle</v>
      </c>
      <c r="L1" s="84"/>
      <c r="M1" s="84"/>
      <c r="N1" s="84"/>
      <c r="O1" s="84"/>
      <c r="P1" s="84"/>
      <c r="Q1" s="85"/>
      <c r="R1" s="85"/>
    </row>
    <row r="2" spans="1:20" x14ac:dyDescent="0.25">
      <c r="A2" s="85"/>
      <c r="B2" s="85"/>
      <c r="C2" s="85"/>
      <c r="D2" s="85"/>
      <c r="E2" s="85"/>
      <c r="F2" s="85"/>
      <c r="G2" s="85"/>
      <c r="H2" s="85"/>
      <c r="I2" s="85"/>
      <c r="J2" s="85"/>
      <c r="K2" s="84"/>
      <c r="L2" s="84"/>
      <c r="M2" s="84"/>
      <c r="N2" s="84"/>
      <c r="O2" s="84"/>
      <c r="P2" s="84"/>
      <c r="Q2" s="85"/>
      <c r="R2" s="85"/>
    </row>
    <row r="3" spans="1:20" x14ac:dyDescent="0.25">
      <c r="A3" s="85"/>
      <c r="B3" s="85"/>
      <c r="C3" s="85"/>
      <c r="D3" s="85"/>
      <c r="E3" s="85"/>
      <c r="F3" s="85"/>
      <c r="G3" s="85"/>
      <c r="H3" s="85"/>
      <c r="I3" s="85"/>
      <c r="J3" s="85"/>
      <c r="K3" s="84"/>
      <c r="L3" s="84"/>
      <c r="M3" s="84"/>
      <c r="N3" s="84"/>
      <c r="O3" s="84"/>
      <c r="P3" s="84"/>
      <c r="Q3" s="85"/>
      <c r="R3" s="85"/>
    </row>
    <row r="4" spans="1:20"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20" ht="15.75" x14ac:dyDescent="0.25">
      <c r="A5" s="91"/>
      <c r="B5" s="91"/>
      <c r="C5" s="91"/>
      <c r="D5" s="91"/>
      <c r="E5" s="91"/>
      <c r="F5" s="91"/>
      <c r="G5" s="91"/>
      <c r="H5" s="91"/>
      <c r="I5" s="91"/>
      <c r="J5" s="91"/>
      <c r="K5" s="91"/>
      <c r="L5" s="91"/>
      <c r="M5" s="91"/>
      <c r="N5" s="91"/>
      <c r="O5" s="91"/>
      <c r="P5" s="91"/>
      <c r="Q5" s="90" t="str">
        <f ca="1">Start!Q5</f>
        <v>19:34 Uhr</v>
      </c>
      <c r="R5" s="89"/>
    </row>
    <row r="7" spans="1:20" x14ac:dyDescent="0.25">
      <c r="B7" s="79" t="str">
        <f>IF(Start!K7="English","Start",IF(Start!K7="Español","Inicio","Start"))</f>
        <v>Start</v>
      </c>
      <c r="C7" s="79"/>
      <c r="D7" s="79"/>
      <c r="E7" s="79"/>
      <c r="F7" s="79"/>
      <c r="G7" s="79"/>
      <c r="H7" s="79"/>
      <c r="K7" s="159" t="str">
        <f>IF(Start!K7="English","Ideally, you always weigh yourself in the morning, after getting up. Preferably naked, with an empty bladder and bowels. That way you have perfect comparison values!",IF(Start!K7="Español","Lo ideal es pesarse siempre por la mañana, después de levantarse. Preferiblemente desnudo, con la vejiga y los intestinos vacíos. De este modo, dispondrá de valores de comparación perfectos.","Wichtiger Hinweis: Idealerweise wiegt man sich immer morgens, nach dem Aufstehen. Am besten nackt, mit leerer Blase und leerem Darm. So hat man perfekte Vergleichswerte!"))</f>
        <v>Wichtiger Hinweis: Idealerweise wiegt man sich immer morgens, nach dem Aufstehen. Am besten nackt, mit leerer Blase und leerem Darm. So hat man perfekte Vergleichswerte!</v>
      </c>
      <c r="L7" s="160"/>
      <c r="M7" s="160"/>
      <c r="N7" s="160"/>
      <c r="O7" s="160"/>
      <c r="P7" s="160"/>
      <c r="Q7" s="160"/>
      <c r="R7" s="161"/>
    </row>
    <row r="8" spans="1:20" x14ac:dyDescent="0.25">
      <c r="B8" s="79"/>
      <c r="C8" s="79"/>
      <c r="D8" s="79"/>
      <c r="E8" s="79"/>
      <c r="F8" s="79"/>
      <c r="G8" s="79"/>
      <c r="H8" s="79"/>
      <c r="K8" s="162"/>
      <c r="L8" s="87"/>
      <c r="M8" s="87"/>
      <c r="N8" s="87"/>
      <c r="O8" s="87"/>
      <c r="P8" s="87"/>
      <c r="Q8" s="87"/>
      <c r="R8" s="163"/>
    </row>
    <row r="9" spans="1:20" ht="15" customHeight="1" x14ac:dyDescent="0.25">
      <c r="K9" s="164"/>
      <c r="L9" s="165"/>
      <c r="M9" s="165"/>
      <c r="N9" s="165"/>
      <c r="O9" s="165"/>
      <c r="P9" s="165"/>
      <c r="Q9" s="165"/>
      <c r="R9" s="166"/>
    </row>
    <row r="10" spans="1:20" ht="15" customHeight="1" x14ac:dyDescent="0.25">
      <c r="A10" s="79" t="str">
        <f>IF(Start!K7="English","Personal data",IF(Start!K7="Español","Datos personales","Persönliche Daten"))</f>
        <v>Persönliche Daten</v>
      </c>
      <c r="B10" s="79"/>
      <c r="C10" s="79"/>
      <c r="D10" s="79"/>
      <c r="E10" s="79"/>
      <c r="F10" s="79"/>
      <c r="G10" s="79"/>
      <c r="H10" s="79"/>
      <c r="I10" s="79"/>
    </row>
    <row r="11" spans="1:20" x14ac:dyDescent="0.25">
      <c r="A11" s="79"/>
      <c r="B11" s="79"/>
      <c r="C11" s="79"/>
      <c r="D11" s="79"/>
      <c r="E11" s="79"/>
      <c r="F11" s="79"/>
      <c r="G11" s="79"/>
      <c r="H11" s="79"/>
      <c r="I11" s="79"/>
      <c r="K11" s="147" t="str">
        <f>IF(Start!K7="English","Your start weight entered under 'Personal data': ",IF(Start!K7="Español","Tu peso inicial introducido en 'Datos personales': ","Dein unter 'Persönliche Daten' eingetragenes Start-Gewicht: "))&amp;'Persönliche Daten'!M20&amp;" kg"</f>
        <v>Dein unter 'Persönliche Daten' eingetragenes Start-Gewicht:  kg</v>
      </c>
      <c r="L11" s="147"/>
      <c r="M11" s="147"/>
      <c r="N11" s="147"/>
      <c r="O11" s="147"/>
      <c r="P11" s="147"/>
    </row>
    <row r="12" spans="1:20" ht="15" customHeight="1" x14ac:dyDescent="0.25"/>
    <row r="13" spans="1:20" ht="15" customHeight="1" x14ac:dyDescent="0.25">
      <c r="A13" s="79" t="str">
        <f>IF(Start!K7="English","Weight table",IF(Start!K7="Español","Tabla de pesos","Gewichtstabelle"))</f>
        <v>Gewichtstabelle</v>
      </c>
      <c r="B13" s="79"/>
      <c r="C13" s="79"/>
      <c r="D13" s="79"/>
      <c r="E13" s="79"/>
      <c r="F13" s="79"/>
      <c r="G13" s="79"/>
      <c r="H13" s="79"/>
      <c r="I13" s="79"/>
      <c r="K13" s="200" t="str">
        <f>IF(Start!K7="English","calendar week",IF(Start!K7="Español","Calendario de la semana","Kalender-Woche "))</f>
        <v xml:space="preserve">Kalender-Woche </v>
      </c>
      <c r="L13" s="202" t="str">
        <f>IF(Start!K7="English","Sunday",IF(Start!K7="Español","Domingo","Sonntag"))</f>
        <v>Sonntag</v>
      </c>
      <c r="M13" s="202" t="str">
        <f>IF(Start!K7="English","Monday",IF(Start!K7="Español","Lunes","Montag"))</f>
        <v>Montag</v>
      </c>
      <c r="N13" s="202" t="str">
        <f>IF(Start!K7="English","Tuesday",IF(Start!K7="Español","Martes","Dienstag"))</f>
        <v>Dienstag</v>
      </c>
      <c r="O13" s="199" t="str">
        <f>IF(Start!K7="English","Wednesday",IF(Start!K7="Español","Miércoles","Mittwoch"))</f>
        <v>Mittwoch</v>
      </c>
      <c r="P13" s="183" t="str">
        <f>IF(Start!K7="English","Thursday",IF(Start!K7="Español","Jueves","Donnerstag"))</f>
        <v>Donnerstag</v>
      </c>
      <c r="Q13" s="183" t="str">
        <f>IF(Start!K7="English","Friday",IF(Start!K7="Español","Viernes","Freitag"))</f>
        <v>Freitag</v>
      </c>
      <c r="R13" s="183" t="str">
        <f>IF(Start!K7="English","Saturday",IF(Start!K7="Español","Sábado","Samstag"))</f>
        <v>Samstag</v>
      </c>
      <c r="S13" s="199" t="str">
        <f>IF(Start!K7="English","Average",IF(Start!K7="Español","Media","Durchschnitt"))</f>
        <v>Durchschnitt</v>
      </c>
      <c r="T13" s="204" t="str">
        <f>IF(Start!K7="English","calendar week",IF(Start!K7="Español","Calendario de la sem.","Kalender-woche"))</f>
        <v>Kalender-woche</v>
      </c>
    </row>
    <row r="14" spans="1:20" x14ac:dyDescent="0.25">
      <c r="A14" s="79"/>
      <c r="B14" s="79"/>
      <c r="C14" s="79"/>
      <c r="D14" s="79"/>
      <c r="E14" s="79"/>
      <c r="F14" s="79"/>
      <c r="G14" s="79"/>
      <c r="H14" s="79"/>
      <c r="I14" s="79"/>
      <c r="K14" s="201"/>
      <c r="L14" s="203"/>
      <c r="M14" s="203"/>
      <c r="N14" s="202"/>
      <c r="O14" s="199"/>
      <c r="P14" s="183"/>
      <c r="Q14" s="183"/>
      <c r="R14" s="183"/>
      <c r="S14" s="199"/>
      <c r="T14" s="205"/>
    </row>
    <row r="15" spans="1:20" ht="15" customHeight="1" thickBot="1" x14ac:dyDescent="0.3">
      <c r="K15" s="56" t="str">
        <f ca="1">IF(Start!K7="English","CW "&amp;Programmdaten!U9,IF(Start!K7="Español","CS "&amp;Programmdaten!U9,"KW "&amp;Programmdaten!U9))</f>
        <v>KW 33</v>
      </c>
      <c r="L15" s="57" t="str">
        <f ca="1">IF(WEEKDAY(NOW())=1,IF(Start!K7="English","Today",IF(Start!K7="Español","Hoy","Heute")),"")</f>
        <v/>
      </c>
      <c r="M15" s="57" t="str">
        <f ca="1">IF(WEEKDAY(NOW())=2,IF(Start!K7="English","Today",IF(Start!K7="Español","Hoy","Heute")),"")</f>
        <v/>
      </c>
      <c r="N15" s="57" t="str">
        <f ca="1">IF(WEEKDAY(NOW())=3,IF(Start!K7="English","Today",IF(Start!K7="Español","Hoy","Heute")),"")</f>
        <v/>
      </c>
      <c r="O15" s="57" t="str">
        <f ca="1">IF(WEEKDAY(NOW())=4,IF(Start!K7="English","Today",IF(Start!K7="Español","Hoy","Heute")),"")</f>
        <v>Heute</v>
      </c>
      <c r="P15" s="57" t="str">
        <f ca="1">IF(WEEKDAY(NOW())=5,IF(Start!K7="English","Today",IF(Start!K7="Español","Hoy","Heute")),"")</f>
        <v/>
      </c>
      <c r="Q15" s="57" t="str">
        <f ca="1">IF(WEEKDAY(NOW())=6,IF(Start!K7="English","Today",IF(Start!K7="Español","Hoy","Heute")),"")</f>
        <v/>
      </c>
      <c r="R15" s="57" t="str">
        <f ca="1">IF(WEEKDAY(NOW())=7,IF(Start!K7="English","Today",IF(Start!K7="Español","Hoy","Heute")),"")</f>
        <v/>
      </c>
      <c r="S15" s="58"/>
      <c r="T15" s="59" t="str">
        <f ca="1">IF(Start!K7="English","CW "&amp;Programmdaten!U9,IF(Start!K7="Español","CS "&amp;Programmdaten!U9,"KW "&amp;Programmdaten!U9))</f>
        <v>KW 33</v>
      </c>
    </row>
    <row r="16" spans="1:20" ht="15" customHeight="1" thickTop="1" x14ac:dyDescent="0.25">
      <c r="A16" s="79" t="str">
        <f>IF(Start!K7="English","Weight target",IF(Start!K7="Español","Objetivo de peso","Gewichts-Ziel"))</f>
        <v>Gewichts-Ziel</v>
      </c>
      <c r="B16" s="79"/>
      <c r="C16" s="79"/>
      <c r="D16" s="79"/>
      <c r="E16" s="79"/>
      <c r="F16" s="79"/>
      <c r="G16" s="79"/>
      <c r="H16" s="79"/>
      <c r="I16" s="79"/>
      <c r="K16" s="36">
        <v>1</v>
      </c>
      <c r="L16" s="15"/>
      <c r="M16" s="16"/>
      <c r="N16" s="15"/>
      <c r="O16" s="16"/>
      <c r="P16" s="15"/>
      <c r="Q16" s="16"/>
      <c r="R16" s="15"/>
      <c r="S16" s="55">
        <f t="shared" ref="S16:S47" si="0">IFERROR(ROUNDDOWN(AVERAGE(L16:R16),1),0)</f>
        <v>0</v>
      </c>
      <c r="T16" s="39">
        <v>1</v>
      </c>
    </row>
    <row r="17" spans="1:20" x14ac:dyDescent="0.25">
      <c r="A17" s="79"/>
      <c r="B17" s="79"/>
      <c r="C17" s="79"/>
      <c r="D17" s="79"/>
      <c r="E17" s="79"/>
      <c r="F17" s="79"/>
      <c r="G17" s="79"/>
      <c r="H17" s="79"/>
      <c r="I17" s="79"/>
      <c r="K17" s="37">
        <v>2</v>
      </c>
      <c r="L17" s="15"/>
      <c r="M17" s="16"/>
      <c r="N17" s="15"/>
      <c r="O17" s="16"/>
      <c r="P17" s="15"/>
      <c r="Q17" s="16"/>
      <c r="R17" s="15"/>
      <c r="S17" s="42">
        <f t="shared" si="0"/>
        <v>0</v>
      </c>
      <c r="T17" s="40">
        <v>2</v>
      </c>
    </row>
    <row r="18" spans="1:20" ht="15" customHeight="1" x14ac:dyDescent="0.25">
      <c r="K18" s="37">
        <v>3</v>
      </c>
      <c r="L18" s="15"/>
      <c r="M18" s="16"/>
      <c r="N18" s="15"/>
      <c r="O18" s="16"/>
      <c r="P18" s="15"/>
      <c r="Q18" s="16"/>
      <c r="R18" s="15"/>
      <c r="S18" s="43">
        <f t="shared" si="0"/>
        <v>0</v>
      </c>
      <c r="T18" s="40">
        <v>3</v>
      </c>
    </row>
    <row r="19" spans="1:20" ht="15" customHeight="1" x14ac:dyDescent="0.25">
      <c r="A19" s="79" t="str">
        <f>IF(Start!K7="English","Overview",IF(Start!K7="Español","Visión general","Übersicht"))</f>
        <v>Übersicht</v>
      </c>
      <c r="B19" s="84"/>
      <c r="C19" s="84"/>
      <c r="D19" s="84"/>
      <c r="E19" s="84"/>
      <c r="F19" s="84"/>
      <c r="G19" s="84"/>
      <c r="H19" s="84"/>
      <c r="I19" s="84"/>
      <c r="K19" s="37">
        <v>4</v>
      </c>
      <c r="L19" s="15"/>
      <c r="M19" s="16"/>
      <c r="N19" s="15"/>
      <c r="O19" s="16"/>
      <c r="P19" s="15"/>
      <c r="Q19" s="16"/>
      <c r="R19" s="15"/>
      <c r="S19" s="43">
        <f t="shared" si="0"/>
        <v>0</v>
      </c>
      <c r="T19" s="40">
        <v>4</v>
      </c>
    </row>
    <row r="20" spans="1:20" x14ac:dyDescent="0.25">
      <c r="A20" s="84"/>
      <c r="B20" s="84"/>
      <c r="C20" s="84"/>
      <c r="D20" s="84"/>
      <c r="E20" s="84"/>
      <c r="F20" s="84"/>
      <c r="G20" s="84"/>
      <c r="H20" s="84"/>
      <c r="I20" s="84"/>
      <c r="K20" s="37">
        <v>5</v>
      </c>
      <c r="L20" s="15"/>
      <c r="M20" s="16"/>
      <c r="N20" s="15"/>
      <c r="O20" s="16"/>
      <c r="P20" s="15"/>
      <c r="Q20" s="16"/>
      <c r="R20" s="15"/>
      <c r="S20" s="43">
        <f t="shared" si="0"/>
        <v>0</v>
      </c>
      <c r="T20" s="40">
        <v>5</v>
      </c>
    </row>
    <row r="21" spans="1:20" ht="15.75" customHeight="1" x14ac:dyDescent="0.25">
      <c r="E21" s="29"/>
      <c r="F21" s="29"/>
      <c r="G21" s="29"/>
      <c r="H21" s="29"/>
      <c r="I21" s="29"/>
      <c r="K21" s="37">
        <v>6</v>
      </c>
      <c r="L21" s="15"/>
      <c r="M21" s="16"/>
      <c r="N21" s="15"/>
      <c r="O21" s="16"/>
      <c r="P21" s="15"/>
      <c r="Q21" s="16"/>
      <c r="R21" s="15"/>
      <c r="S21" s="43">
        <f t="shared" si="0"/>
        <v>0</v>
      </c>
      <c r="T21" s="40">
        <v>6</v>
      </c>
    </row>
    <row r="22" spans="1:20" ht="15" customHeight="1" x14ac:dyDescent="0.25">
      <c r="K22" s="36">
        <v>7</v>
      </c>
      <c r="L22" s="15"/>
      <c r="M22" s="16"/>
      <c r="N22" s="15"/>
      <c r="O22" s="16"/>
      <c r="P22" s="15"/>
      <c r="Q22" s="16"/>
      <c r="R22" s="15"/>
      <c r="S22" s="43">
        <f t="shared" si="0"/>
        <v>0</v>
      </c>
      <c r="T22" s="39">
        <v>7</v>
      </c>
    </row>
    <row r="23" spans="1:20" x14ac:dyDescent="0.25">
      <c r="K23" s="37">
        <v>8</v>
      </c>
      <c r="L23" s="15"/>
      <c r="M23" s="16"/>
      <c r="N23" s="15"/>
      <c r="O23" s="16"/>
      <c r="P23" s="15"/>
      <c r="Q23" s="16"/>
      <c r="R23" s="15"/>
      <c r="S23" s="43">
        <f t="shared" si="0"/>
        <v>0</v>
      </c>
      <c r="T23" s="40">
        <v>8</v>
      </c>
    </row>
    <row r="24" spans="1:20" x14ac:dyDescent="0.25">
      <c r="K24" s="37">
        <v>9</v>
      </c>
      <c r="L24" s="15"/>
      <c r="M24" s="16"/>
      <c r="N24" s="15"/>
      <c r="O24" s="16"/>
      <c r="P24" s="15"/>
      <c r="Q24" s="16"/>
      <c r="R24" s="15"/>
      <c r="S24" s="43">
        <f t="shared" si="0"/>
        <v>0</v>
      </c>
      <c r="T24" s="40">
        <v>9</v>
      </c>
    </row>
    <row r="25" spans="1:20" x14ac:dyDescent="0.25">
      <c r="K25" s="37">
        <v>10</v>
      </c>
      <c r="L25" s="15"/>
      <c r="M25" s="16"/>
      <c r="N25" s="15"/>
      <c r="O25" s="16"/>
      <c r="P25" s="15"/>
      <c r="Q25" s="16"/>
      <c r="R25" s="15"/>
      <c r="S25" s="43">
        <f t="shared" si="0"/>
        <v>0</v>
      </c>
      <c r="T25" s="40">
        <v>10</v>
      </c>
    </row>
    <row r="26" spans="1:20" x14ac:dyDescent="0.25">
      <c r="K26" s="37">
        <v>11</v>
      </c>
      <c r="L26" s="15"/>
      <c r="M26" s="16"/>
      <c r="N26" s="15"/>
      <c r="O26" s="16"/>
      <c r="P26" s="15"/>
      <c r="Q26" s="16"/>
      <c r="R26" s="15"/>
      <c r="S26" s="43">
        <f t="shared" si="0"/>
        <v>0</v>
      </c>
      <c r="T26" s="40">
        <v>11</v>
      </c>
    </row>
    <row r="27" spans="1:20" x14ac:dyDescent="0.25">
      <c r="K27" s="37">
        <v>12</v>
      </c>
      <c r="L27" s="15"/>
      <c r="M27" s="16"/>
      <c r="N27" s="15"/>
      <c r="O27" s="16"/>
      <c r="P27" s="15"/>
      <c r="Q27" s="16"/>
      <c r="R27" s="15"/>
      <c r="S27" s="43">
        <f t="shared" si="0"/>
        <v>0</v>
      </c>
      <c r="T27" s="40">
        <v>12</v>
      </c>
    </row>
    <row r="28" spans="1:20" x14ac:dyDescent="0.25">
      <c r="K28" s="37">
        <v>13</v>
      </c>
      <c r="L28" s="15"/>
      <c r="M28" s="16"/>
      <c r="N28" s="15"/>
      <c r="O28" s="16"/>
      <c r="P28" s="15"/>
      <c r="Q28" s="16"/>
      <c r="R28" s="15"/>
      <c r="S28" s="43">
        <f t="shared" si="0"/>
        <v>0</v>
      </c>
      <c r="T28" s="40">
        <v>13</v>
      </c>
    </row>
    <row r="29" spans="1:20" x14ac:dyDescent="0.25">
      <c r="K29" s="37">
        <v>14</v>
      </c>
      <c r="L29" s="15"/>
      <c r="M29" s="16"/>
      <c r="N29" s="15"/>
      <c r="O29" s="16"/>
      <c r="P29" s="15"/>
      <c r="Q29" s="16"/>
      <c r="R29" s="15"/>
      <c r="S29" s="43">
        <f t="shared" si="0"/>
        <v>0</v>
      </c>
      <c r="T29" s="40">
        <v>14</v>
      </c>
    </row>
    <row r="30" spans="1:20" x14ac:dyDescent="0.25">
      <c r="K30" s="37">
        <v>15</v>
      </c>
      <c r="L30" s="15"/>
      <c r="M30" s="16"/>
      <c r="N30" s="15"/>
      <c r="O30" s="16"/>
      <c r="P30" s="15"/>
      <c r="Q30" s="16"/>
      <c r="R30" s="15"/>
      <c r="S30" s="43">
        <f t="shared" si="0"/>
        <v>0</v>
      </c>
      <c r="T30" s="40">
        <v>15</v>
      </c>
    </row>
    <row r="31" spans="1:20" x14ac:dyDescent="0.25">
      <c r="K31" s="37">
        <v>16</v>
      </c>
      <c r="L31" s="15"/>
      <c r="M31" s="16"/>
      <c r="N31" s="15"/>
      <c r="O31" s="16"/>
      <c r="P31" s="15"/>
      <c r="Q31" s="16"/>
      <c r="R31" s="15"/>
      <c r="S31" s="43">
        <f t="shared" si="0"/>
        <v>0</v>
      </c>
      <c r="T31" s="40">
        <v>16</v>
      </c>
    </row>
    <row r="32" spans="1:20" x14ac:dyDescent="0.25">
      <c r="K32" s="37">
        <v>17</v>
      </c>
      <c r="L32" s="15"/>
      <c r="M32" s="16"/>
      <c r="N32" s="15"/>
      <c r="O32" s="16"/>
      <c r="P32" s="15"/>
      <c r="Q32" s="16"/>
      <c r="R32" s="15"/>
      <c r="S32" s="43">
        <f t="shared" si="0"/>
        <v>0</v>
      </c>
      <c r="T32" s="40">
        <v>17</v>
      </c>
    </row>
    <row r="33" spans="11:20" x14ac:dyDescent="0.25">
      <c r="K33" s="37">
        <v>18</v>
      </c>
      <c r="L33" s="15"/>
      <c r="M33" s="16"/>
      <c r="N33" s="15"/>
      <c r="O33" s="16"/>
      <c r="P33" s="15"/>
      <c r="Q33" s="16"/>
      <c r="R33" s="15"/>
      <c r="S33" s="43">
        <f t="shared" si="0"/>
        <v>0</v>
      </c>
      <c r="T33" s="40">
        <v>18</v>
      </c>
    </row>
    <row r="34" spans="11:20" x14ac:dyDescent="0.25">
      <c r="K34" s="37">
        <v>19</v>
      </c>
      <c r="L34" s="15"/>
      <c r="M34" s="16"/>
      <c r="N34" s="15"/>
      <c r="O34" s="16"/>
      <c r="P34" s="15"/>
      <c r="Q34" s="16"/>
      <c r="R34" s="15"/>
      <c r="S34" s="43">
        <f t="shared" si="0"/>
        <v>0</v>
      </c>
      <c r="T34" s="40">
        <v>19</v>
      </c>
    </row>
    <row r="35" spans="11:20" x14ac:dyDescent="0.25">
      <c r="K35" s="37">
        <v>20</v>
      </c>
      <c r="L35" s="15"/>
      <c r="M35" s="16"/>
      <c r="N35" s="15"/>
      <c r="O35" s="16"/>
      <c r="P35" s="15"/>
      <c r="Q35" s="16"/>
      <c r="R35" s="15"/>
      <c r="S35" s="43">
        <f t="shared" si="0"/>
        <v>0</v>
      </c>
      <c r="T35" s="40">
        <v>20</v>
      </c>
    </row>
    <row r="36" spans="11:20" x14ac:dyDescent="0.25">
      <c r="K36" s="37">
        <v>21</v>
      </c>
      <c r="L36" s="15"/>
      <c r="M36" s="16"/>
      <c r="N36" s="15"/>
      <c r="O36" s="16"/>
      <c r="P36" s="15"/>
      <c r="Q36" s="16"/>
      <c r="R36" s="15"/>
      <c r="S36" s="43">
        <f t="shared" si="0"/>
        <v>0</v>
      </c>
      <c r="T36" s="40">
        <v>21</v>
      </c>
    </row>
    <row r="37" spans="11:20" x14ac:dyDescent="0.25">
      <c r="K37" s="37">
        <v>22</v>
      </c>
      <c r="L37" s="15"/>
      <c r="M37" s="16"/>
      <c r="N37" s="15"/>
      <c r="O37" s="16"/>
      <c r="P37" s="15"/>
      <c r="Q37" s="16"/>
      <c r="R37" s="15"/>
      <c r="S37" s="43">
        <f t="shared" si="0"/>
        <v>0</v>
      </c>
      <c r="T37" s="40">
        <v>22</v>
      </c>
    </row>
    <row r="38" spans="11:20" x14ac:dyDescent="0.25">
      <c r="K38" s="37">
        <v>23</v>
      </c>
      <c r="L38" s="15"/>
      <c r="M38" s="16"/>
      <c r="N38" s="15"/>
      <c r="O38" s="16"/>
      <c r="P38" s="15"/>
      <c r="Q38" s="16"/>
      <c r="R38" s="15"/>
      <c r="S38" s="43">
        <f t="shared" si="0"/>
        <v>0</v>
      </c>
      <c r="T38" s="40">
        <v>23</v>
      </c>
    </row>
    <row r="39" spans="11:20" x14ac:dyDescent="0.25">
      <c r="K39" s="37">
        <v>24</v>
      </c>
      <c r="L39" s="15"/>
      <c r="M39" s="16"/>
      <c r="N39" s="15"/>
      <c r="O39" s="16"/>
      <c r="P39" s="15"/>
      <c r="Q39" s="16"/>
      <c r="R39" s="15"/>
      <c r="S39" s="43">
        <f t="shared" si="0"/>
        <v>0</v>
      </c>
      <c r="T39" s="40">
        <v>24</v>
      </c>
    </row>
    <row r="40" spans="11:20" x14ac:dyDescent="0.25">
      <c r="K40" s="37">
        <v>25</v>
      </c>
      <c r="L40" s="15"/>
      <c r="M40" s="16"/>
      <c r="N40" s="15"/>
      <c r="O40" s="16"/>
      <c r="P40" s="15"/>
      <c r="Q40" s="16"/>
      <c r="R40" s="15"/>
      <c r="S40" s="43">
        <f t="shared" si="0"/>
        <v>0</v>
      </c>
      <c r="T40" s="40">
        <v>25</v>
      </c>
    </row>
    <row r="41" spans="11:20" x14ac:dyDescent="0.25">
      <c r="K41" s="37">
        <v>26</v>
      </c>
      <c r="L41" s="15"/>
      <c r="M41" s="16"/>
      <c r="N41" s="15"/>
      <c r="O41" s="16"/>
      <c r="P41" s="15"/>
      <c r="Q41" s="16"/>
      <c r="R41" s="15"/>
      <c r="S41" s="43">
        <f t="shared" si="0"/>
        <v>0</v>
      </c>
      <c r="T41" s="40">
        <v>26</v>
      </c>
    </row>
    <row r="42" spans="11:20" x14ac:dyDescent="0.25">
      <c r="K42" s="37">
        <v>27</v>
      </c>
      <c r="L42" s="15"/>
      <c r="M42" s="16"/>
      <c r="N42" s="15"/>
      <c r="O42" s="16"/>
      <c r="P42" s="15"/>
      <c r="Q42" s="16"/>
      <c r="R42" s="15"/>
      <c r="S42" s="43">
        <f t="shared" si="0"/>
        <v>0</v>
      </c>
      <c r="T42" s="40">
        <v>27</v>
      </c>
    </row>
    <row r="43" spans="11:20" x14ac:dyDescent="0.25">
      <c r="K43" s="37">
        <v>28</v>
      </c>
      <c r="L43" s="15"/>
      <c r="M43" s="16"/>
      <c r="N43" s="15"/>
      <c r="O43" s="16"/>
      <c r="P43" s="15"/>
      <c r="Q43" s="16"/>
      <c r="R43" s="15"/>
      <c r="S43" s="43">
        <f t="shared" si="0"/>
        <v>0</v>
      </c>
      <c r="T43" s="40">
        <v>28</v>
      </c>
    </row>
    <row r="44" spans="11:20" x14ac:dyDescent="0.25">
      <c r="K44" s="37">
        <v>29</v>
      </c>
      <c r="L44" s="15"/>
      <c r="M44" s="16"/>
      <c r="N44" s="15"/>
      <c r="O44" s="16"/>
      <c r="P44" s="15"/>
      <c r="Q44" s="16"/>
      <c r="R44" s="15"/>
      <c r="S44" s="43">
        <f t="shared" si="0"/>
        <v>0</v>
      </c>
      <c r="T44" s="40">
        <v>29</v>
      </c>
    </row>
    <row r="45" spans="11:20" x14ac:dyDescent="0.25">
      <c r="K45" s="37">
        <v>30</v>
      </c>
      <c r="L45" s="15"/>
      <c r="M45" s="16"/>
      <c r="N45" s="15"/>
      <c r="O45" s="16"/>
      <c r="P45" s="15"/>
      <c r="Q45" s="16"/>
      <c r="R45" s="15"/>
      <c r="S45" s="43">
        <f t="shared" si="0"/>
        <v>0</v>
      </c>
      <c r="T45" s="40">
        <v>30</v>
      </c>
    </row>
    <row r="46" spans="11:20" x14ac:dyDescent="0.25">
      <c r="K46" s="37">
        <v>31</v>
      </c>
      <c r="L46" s="15"/>
      <c r="M46" s="16"/>
      <c r="N46" s="15"/>
      <c r="O46" s="16"/>
      <c r="P46" s="15"/>
      <c r="Q46" s="16"/>
      <c r="R46" s="15"/>
      <c r="S46" s="43">
        <f t="shared" si="0"/>
        <v>0</v>
      </c>
      <c r="T46" s="40">
        <v>31</v>
      </c>
    </row>
    <row r="47" spans="11:20" x14ac:dyDescent="0.25">
      <c r="K47" s="37">
        <v>32</v>
      </c>
      <c r="L47" s="15"/>
      <c r="M47" s="16"/>
      <c r="N47" s="15"/>
      <c r="O47" s="16"/>
      <c r="P47" s="15"/>
      <c r="Q47" s="16"/>
      <c r="R47" s="15"/>
      <c r="S47" s="43">
        <f t="shared" si="0"/>
        <v>0</v>
      </c>
      <c r="T47" s="40">
        <v>32</v>
      </c>
    </row>
    <row r="48" spans="11:20" x14ac:dyDescent="0.25">
      <c r="K48" s="37">
        <v>33</v>
      </c>
      <c r="L48" s="15"/>
      <c r="M48" s="16"/>
      <c r="N48" s="15"/>
      <c r="O48" s="16"/>
      <c r="P48" s="15"/>
      <c r="Q48" s="16"/>
      <c r="R48" s="15"/>
      <c r="S48" s="43">
        <f t="shared" ref="S48:S67" si="1">IFERROR(ROUNDDOWN(AVERAGE(L48:R48),1),0)</f>
        <v>0</v>
      </c>
      <c r="T48" s="40">
        <v>33</v>
      </c>
    </row>
    <row r="49" spans="11:20" x14ac:dyDescent="0.25">
      <c r="K49" s="37">
        <v>34</v>
      </c>
      <c r="L49" s="15"/>
      <c r="M49" s="16"/>
      <c r="N49" s="15"/>
      <c r="O49" s="16"/>
      <c r="P49" s="15"/>
      <c r="Q49" s="16"/>
      <c r="R49" s="15"/>
      <c r="S49" s="43">
        <f t="shared" si="1"/>
        <v>0</v>
      </c>
      <c r="T49" s="40">
        <v>34</v>
      </c>
    </row>
    <row r="50" spans="11:20" x14ac:dyDescent="0.25">
      <c r="K50" s="37">
        <v>35</v>
      </c>
      <c r="L50" s="15"/>
      <c r="M50" s="16"/>
      <c r="N50" s="15"/>
      <c r="O50" s="16"/>
      <c r="P50" s="15"/>
      <c r="Q50" s="16"/>
      <c r="R50" s="15"/>
      <c r="S50" s="43">
        <f t="shared" si="1"/>
        <v>0</v>
      </c>
      <c r="T50" s="40">
        <v>35</v>
      </c>
    </row>
    <row r="51" spans="11:20" x14ac:dyDescent="0.25">
      <c r="K51" s="37">
        <v>36</v>
      </c>
      <c r="L51" s="15"/>
      <c r="M51" s="16"/>
      <c r="N51" s="15"/>
      <c r="O51" s="16"/>
      <c r="P51" s="15"/>
      <c r="Q51" s="16"/>
      <c r="R51" s="15"/>
      <c r="S51" s="43">
        <f t="shared" si="1"/>
        <v>0</v>
      </c>
      <c r="T51" s="40">
        <v>36</v>
      </c>
    </row>
    <row r="52" spans="11:20" x14ac:dyDescent="0.25">
      <c r="K52" s="37">
        <v>37</v>
      </c>
      <c r="L52" s="15"/>
      <c r="M52" s="16"/>
      <c r="N52" s="15"/>
      <c r="O52" s="16"/>
      <c r="P52" s="15"/>
      <c r="Q52" s="16"/>
      <c r="R52" s="15"/>
      <c r="S52" s="43">
        <f t="shared" si="1"/>
        <v>0</v>
      </c>
      <c r="T52" s="40">
        <v>37</v>
      </c>
    </row>
    <row r="53" spans="11:20" x14ac:dyDescent="0.25">
      <c r="K53" s="37">
        <v>38</v>
      </c>
      <c r="L53" s="15"/>
      <c r="M53" s="16"/>
      <c r="N53" s="15"/>
      <c r="O53" s="16"/>
      <c r="P53" s="15"/>
      <c r="Q53" s="16"/>
      <c r="R53" s="15"/>
      <c r="S53" s="43">
        <f t="shared" si="1"/>
        <v>0</v>
      </c>
      <c r="T53" s="40">
        <v>38</v>
      </c>
    </row>
    <row r="54" spans="11:20" x14ac:dyDescent="0.25">
      <c r="K54" s="37">
        <v>39</v>
      </c>
      <c r="L54" s="15"/>
      <c r="M54" s="16"/>
      <c r="N54" s="15"/>
      <c r="O54" s="16"/>
      <c r="P54" s="15"/>
      <c r="Q54" s="16"/>
      <c r="R54" s="15"/>
      <c r="S54" s="43">
        <f t="shared" si="1"/>
        <v>0</v>
      </c>
      <c r="T54" s="40">
        <v>39</v>
      </c>
    </row>
    <row r="55" spans="11:20" x14ac:dyDescent="0.25">
      <c r="K55" s="37">
        <v>40</v>
      </c>
      <c r="L55" s="15"/>
      <c r="M55" s="16"/>
      <c r="N55" s="15"/>
      <c r="O55" s="16"/>
      <c r="P55" s="15"/>
      <c r="Q55" s="16"/>
      <c r="R55" s="15"/>
      <c r="S55" s="43">
        <f t="shared" si="1"/>
        <v>0</v>
      </c>
      <c r="T55" s="40">
        <v>40</v>
      </c>
    </row>
    <row r="56" spans="11:20" x14ac:dyDescent="0.25">
      <c r="K56" s="37">
        <v>41</v>
      </c>
      <c r="L56" s="15"/>
      <c r="M56" s="16"/>
      <c r="N56" s="15"/>
      <c r="O56" s="16"/>
      <c r="P56" s="15"/>
      <c r="Q56" s="16"/>
      <c r="R56" s="15"/>
      <c r="S56" s="43">
        <f t="shared" si="1"/>
        <v>0</v>
      </c>
      <c r="T56" s="40">
        <v>41</v>
      </c>
    </row>
    <row r="57" spans="11:20" x14ac:dyDescent="0.25">
      <c r="K57" s="37">
        <v>42</v>
      </c>
      <c r="L57" s="15"/>
      <c r="M57" s="16"/>
      <c r="N57" s="15"/>
      <c r="O57" s="16"/>
      <c r="P57" s="15"/>
      <c r="Q57" s="16"/>
      <c r="R57" s="15"/>
      <c r="S57" s="43">
        <f t="shared" si="1"/>
        <v>0</v>
      </c>
      <c r="T57" s="40">
        <v>42</v>
      </c>
    </row>
    <row r="58" spans="11:20" x14ac:dyDescent="0.25">
      <c r="K58" s="37">
        <v>43</v>
      </c>
      <c r="L58" s="15"/>
      <c r="M58" s="16"/>
      <c r="N58" s="15"/>
      <c r="O58" s="16"/>
      <c r="P58" s="15"/>
      <c r="Q58" s="16"/>
      <c r="R58" s="15"/>
      <c r="S58" s="43">
        <f t="shared" si="1"/>
        <v>0</v>
      </c>
      <c r="T58" s="40">
        <v>43</v>
      </c>
    </row>
    <row r="59" spans="11:20" x14ac:dyDescent="0.25">
      <c r="K59" s="37">
        <v>44</v>
      </c>
      <c r="L59" s="15"/>
      <c r="M59" s="16"/>
      <c r="N59" s="15"/>
      <c r="O59" s="16"/>
      <c r="P59" s="15"/>
      <c r="Q59" s="16"/>
      <c r="R59" s="15"/>
      <c r="S59" s="43">
        <f t="shared" si="1"/>
        <v>0</v>
      </c>
      <c r="T59" s="40">
        <v>44</v>
      </c>
    </row>
    <row r="60" spans="11:20" x14ac:dyDescent="0.25">
      <c r="K60" s="37">
        <v>45</v>
      </c>
      <c r="L60" s="15"/>
      <c r="M60" s="16"/>
      <c r="N60" s="15"/>
      <c r="O60" s="16"/>
      <c r="P60" s="15"/>
      <c r="Q60" s="16"/>
      <c r="R60" s="15"/>
      <c r="S60" s="43">
        <f t="shared" si="1"/>
        <v>0</v>
      </c>
      <c r="T60" s="40">
        <v>45</v>
      </c>
    </row>
    <row r="61" spans="11:20" x14ac:dyDescent="0.25">
      <c r="K61" s="37">
        <v>46</v>
      </c>
      <c r="L61" s="15"/>
      <c r="M61" s="16"/>
      <c r="N61" s="15"/>
      <c r="O61" s="16"/>
      <c r="P61" s="15"/>
      <c r="Q61" s="16"/>
      <c r="R61" s="15"/>
      <c r="S61" s="43">
        <f t="shared" si="1"/>
        <v>0</v>
      </c>
      <c r="T61" s="40">
        <v>46</v>
      </c>
    </row>
    <row r="62" spans="11:20" x14ac:dyDescent="0.25">
      <c r="K62" s="37">
        <v>47</v>
      </c>
      <c r="L62" s="15"/>
      <c r="M62" s="16"/>
      <c r="N62" s="15"/>
      <c r="O62" s="16"/>
      <c r="P62" s="15"/>
      <c r="Q62" s="16"/>
      <c r="R62" s="15"/>
      <c r="S62" s="43">
        <f t="shared" si="1"/>
        <v>0</v>
      </c>
      <c r="T62" s="40">
        <v>47</v>
      </c>
    </row>
    <row r="63" spans="11:20" x14ac:dyDescent="0.25">
      <c r="K63" s="37">
        <v>48</v>
      </c>
      <c r="L63" s="15"/>
      <c r="M63" s="16"/>
      <c r="N63" s="15"/>
      <c r="O63" s="16"/>
      <c r="P63" s="15"/>
      <c r="Q63" s="16"/>
      <c r="R63" s="15"/>
      <c r="S63" s="43">
        <f t="shared" si="1"/>
        <v>0</v>
      </c>
      <c r="T63" s="40">
        <v>48</v>
      </c>
    </row>
    <row r="64" spans="11:20" x14ac:dyDescent="0.25">
      <c r="K64" s="37">
        <v>49</v>
      </c>
      <c r="L64" s="15"/>
      <c r="M64" s="16"/>
      <c r="N64" s="15"/>
      <c r="O64" s="16"/>
      <c r="P64" s="15"/>
      <c r="Q64" s="16"/>
      <c r="R64" s="15"/>
      <c r="S64" s="43">
        <f t="shared" si="1"/>
        <v>0</v>
      </c>
      <c r="T64" s="40">
        <v>49</v>
      </c>
    </row>
    <row r="65" spans="11:20" x14ac:dyDescent="0.25">
      <c r="K65" s="37">
        <v>50</v>
      </c>
      <c r="L65" s="15"/>
      <c r="M65" s="16"/>
      <c r="N65" s="15"/>
      <c r="O65" s="16"/>
      <c r="P65" s="15"/>
      <c r="Q65" s="16"/>
      <c r="R65" s="15"/>
      <c r="S65" s="43">
        <f t="shared" si="1"/>
        <v>0</v>
      </c>
      <c r="T65" s="40">
        <v>50</v>
      </c>
    </row>
    <row r="66" spans="11:20" x14ac:dyDescent="0.25">
      <c r="K66" s="37">
        <v>51</v>
      </c>
      <c r="L66" s="15"/>
      <c r="M66" s="16"/>
      <c r="N66" s="15"/>
      <c r="O66" s="16"/>
      <c r="P66" s="15"/>
      <c r="Q66" s="16"/>
      <c r="R66" s="15"/>
      <c r="S66" s="43">
        <f t="shared" si="1"/>
        <v>0</v>
      </c>
      <c r="T66" s="40">
        <v>51</v>
      </c>
    </row>
    <row r="67" spans="11:20" ht="15.75" thickBot="1" x14ac:dyDescent="0.3">
      <c r="K67" s="38">
        <v>52</v>
      </c>
      <c r="L67" s="60"/>
      <c r="M67" s="61"/>
      <c r="N67" s="60"/>
      <c r="O67" s="61"/>
      <c r="P67" s="60"/>
      <c r="Q67" s="61"/>
      <c r="R67" s="60"/>
      <c r="S67" s="42">
        <f t="shared" si="1"/>
        <v>0</v>
      </c>
      <c r="T67" s="41">
        <v>52</v>
      </c>
    </row>
    <row r="68" spans="11:20" ht="16.5" thickTop="1" thickBot="1" x14ac:dyDescent="0.3">
      <c r="K68" s="62" t="str">
        <f ca="1">IF(Start!K7="English","CW "&amp;Programmdaten!U9,IF(Start!K7="Español","CS "&amp;Programmdaten!U9,"KW "&amp;Programmdaten!U9))</f>
        <v>KW 33</v>
      </c>
      <c r="L68" s="63" t="str">
        <f ca="1">IF(WEEKDAY(NOW())=1,IF(Start!K7="English","Today",IF(Start!K7="Español","Hoy","Heute")),"")</f>
        <v/>
      </c>
      <c r="M68" s="63" t="str">
        <f ca="1">IF(WEEKDAY(NOW())=2,IF(Start!K7="English","Today",IF(Start!K7="Español","Hoy","Heute")),"")</f>
        <v/>
      </c>
      <c r="N68" s="57" t="str">
        <f ca="1">IF(WEEKDAY(NOW())=3,IF(Start!K7="English","Today",IF(Start!K7="Español","Hoy","Heute")),"")</f>
        <v/>
      </c>
      <c r="O68" s="63" t="str">
        <f ca="1">IF(WEEKDAY(NOW())=4,IF(Start!K7="English","Today",IF(Start!K7="Español","Hoy","Heute")),"")</f>
        <v>Heute</v>
      </c>
      <c r="P68" s="63" t="str">
        <f ca="1">IF(WEEKDAY(NOW())=5,IF(Start!K7="English","Today",IF(Start!K7="Español","Hoy","Heute")),"")</f>
        <v/>
      </c>
      <c r="Q68" s="63" t="str">
        <f ca="1">IF(WEEKDAY(NOW())=6,IF(Start!K7="English","Today",IF(Start!K7="Español","Hoy","Heute")),"")</f>
        <v/>
      </c>
      <c r="R68" s="63" t="str">
        <f ca="1">IF(WEEKDAY(NOW())=7,IF(Start!K7="English","Today",IF(Start!K7="Español","Hoy","Heute")),"")</f>
        <v/>
      </c>
      <c r="S68" s="64"/>
      <c r="T68" s="65" t="str">
        <f ca="1">"KW "&amp;LEFT(A4,2)</f>
        <v>KW 33</v>
      </c>
    </row>
    <row r="69" spans="11:20" ht="15.75" thickTop="1" x14ac:dyDescent="0.25">
      <c r="K69" s="200" t="str">
        <f>K13</f>
        <v xml:space="preserve">Kalender-Woche </v>
      </c>
      <c r="L69" s="202" t="str">
        <f t="shared" ref="L69:R69" si="2">L13</f>
        <v>Sonntag</v>
      </c>
      <c r="M69" s="202" t="str">
        <f t="shared" si="2"/>
        <v>Montag</v>
      </c>
      <c r="N69" s="202" t="str">
        <f t="shared" si="2"/>
        <v>Dienstag</v>
      </c>
      <c r="O69" s="199" t="str">
        <f t="shared" si="2"/>
        <v>Mittwoch</v>
      </c>
      <c r="P69" s="183" t="str">
        <f t="shared" si="2"/>
        <v>Donnerstag</v>
      </c>
      <c r="Q69" s="183" t="str">
        <f t="shared" si="2"/>
        <v>Freitag</v>
      </c>
      <c r="R69" s="183" t="str">
        <f t="shared" si="2"/>
        <v>Samstag</v>
      </c>
      <c r="S69" s="199" t="str">
        <f>S13</f>
        <v>Durchschnitt</v>
      </c>
      <c r="T69" s="204" t="s">
        <v>132</v>
      </c>
    </row>
    <row r="70" spans="11:20" x14ac:dyDescent="0.25">
      <c r="K70" s="201"/>
      <c r="L70" s="203"/>
      <c r="M70" s="203"/>
      <c r="N70" s="202"/>
      <c r="O70" s="199"/>
      <c r="P70" s="183"/>
      <c r="Q70" s="183"/>
      <c r="R70" s="183"/>
      <c r="S70" s="199"/>
      <c r="T70" s="205"/>
    </row>
    <row r="72" spans="11:20" x14ac:dyDescent="0.25">
      <c r="S72" s="206">
        <f>IFERROR(ROUNDDOWN(AVERAGE(S16:S67),1),0)</f>
        <v>0</v>
      </c>
    </row>
    <row r="73" spans="11:20" x14ac:dyDescent="0.25">
      <c r="S73" s="206"/>
    </row>
  </sheetData>
  <mergeCells count="35">
    <mergeCell ref="A19:I20"/>
    <mergeCell ref="T13:T14"/>
    <mergeCell ref="T69:T70"/>
    <mergeCell ref="S72:S73"/>
    <mergeCell ref="P13:P14"/>
    <mergeCell ref="Q13:Q14"/>
    <mergeCell ref="R13:R14"/>
    <mergeCell ref="P69:P70"/>
    <mergeCell ref="Q69:Q70"/>
    <mergeCell ref="R69:R70"/>
    <mergeCell ref="S13:S14"/>
    <mergeCell ref="S69:S70"/>
    <mergeCell ref="K69:K70"/>
    <mergeCell ref="L69:L70"/>
    <mergeCell ref="M69:M70"/>
    <mergeCell ref="N69:N70"/>
    <mergeCell ref="Q1:R3"/>
    <mergeCell ref="A4:J5"/>
    <mergeCell ref="K4:P5"/>
    <mergeCell ref="Q4:R4"/>
    <mergeCell ref="Q5:R5"/>
    <mergeCell ref="A1:J3"/>
    <mergeCell ref="K1:P3"/>
    <mergeCell ref="B7:H8"/>
    <mergeCell ref="A10:I11"/>
    <mergeCell ref="A13:I14"/>
    <mergeCell ref="A16:I17"/>
    <mergeCell ref="K7:R9"/>
    <mergeCell ref="K11:P11"/>
    <mergeCell ref="O69:O70"/>
    <mergeCell ref="K13:K14"/>
    <mergeCell ref="L13:L14"/>
    <mergeCell ref="M13:M14"/>
    <mergeCell ref="N13:N14"/>
    <mergeCell ref="O13:O14"/>
  </mergeCells>
  <phoneticPr fontId="6" type="noConversion"/>
  <conditionalFormatting sqref="K16:K67">
    <cfRule type="cellIs" dxfId="12" priority="13" operator="greaterThan">
      <formula>20</formula>
    </cfRule>
    <cfRule type="cellIs" dxfId="11" priority="15" operator="equal">
      <formula>20</formula>
    </cfRule>
    <cfRule type="cellIs" dxfId="10" priority="18" operator="equal">
      <formula>"Kalenderwoche(jetzt())"</formula>
    </cfRule>
    <cfRule type="cellIs" dxfId="9" priority="19" operator="equal">
      <formula>20</formula>
    </cfRule>
    <cfRule type="cellIs" dxfId="8" priority="20" operator="equal">
      <formula>$K$15</formula>
    </cfRule>
  </conditionalFormatting>
  <conditionalFormatting sqref="T16:T67">
    <cfRule type="cellIs" dxfId="4" priority="4" operator="greaterThan">
      <formula>20</formula>
    </cfRule>
    <cfRule type="cellIs" dxfId="3" priority="5" operator="equal">
      <formula>20</formula>
    </cfRule>
    <cfRule type="cellIs" dxfId="2" priority="6" operator="equal">
      <formula>"Kalenderwoche(jetzt())"</formula>
    </cfRule>
    <cfRule type="cellIs" dxfId="1" priority="7" operator="equal">
      <formula>20</formula>
    </cfRule>
    <cfRule type="cellIs" dxfId="0" priority="8" operator="equal">
      <formula>$K$15</formula>
    </cfRule>
  </conditionalFormatting>
  <dataValidations xWindow="667" yWindow="469" count="370">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01. Kalenderwoche ein!_x000a__________________________" sqref="R16" xr:uid="{BB170EDF-46D7-468A-92D4-1E6D38C68CE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01. Kalenderwoche ein!_x000a__________________________" sqref="L16" xr:uid="{538E0766-5A39-43C8-9F19-0D33B97F6AD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01. Kalenderwoche ein!_x000a__________________________" sqref="M16" xr:uid="{9B8A783D-A632-4853-894C-02790198D0F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01. Kalenderwoche ein!_x000a__________________________" sqref="N16" xr:uid="{3F0EDED3-F115-4BF5-AE09-7E056E4D48A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01. Kalenderwoche ein!_x000a__________________________" sqref="O16" xr:uid="{B3621E66-C394-46B2-8824-0290B50AFB7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01. Kalenderwoche ein!_x000a__________________________" sqref="P16" xr:uid="{1BDBFB4C-6D9E-4222-8E90-49FD36C0339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01. Kalenderwoche ein!_x000a__________________________" sqref="Q16" xr:uid="{FF7CAA7B-F171-401B-8EC1-B462CB11E6D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02. Kalenderwoche ein!_x000a__________________________" sqref="L17" xr:uid="{907195FC-70E3-46E9-A5AB-7ED7F6DC78B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02. Kalenderwoche ein!_x000a__________________________" sqref="M17" xr:uid="{31918864-B02C-4FD4-A886-8CC1A1F5CE8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02. Kalenderwoche ein!_x000a__________________________" sqref="N17" xr:uid="{6F14806B-A26E-4756-8C5F-56E0876088D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02. Kalenderwoche ein!_x000a__________________________" sqref="O17" xr:uid="{5A921F0B-15EF-429E-B62D-FF561968FFD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02. Kalenderwoche ein!_x000a__________________________" sqref="P17" xr:uid="{D3EF2FF8-D3EA-4807-A6DA-E3F3A0163A2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02. Kalenderwoche ein!_x000a__________________________" sqref="Q17" xr:uid="{9A7AF35D-54C9-4384-9B51-FF7F984E0CD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02. Kalenderwoche ein!_x000a__________________________" sqref="R17" xr:uid="{CCB7060D-A146-4EE5-9411-7BDA0E7CCC6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03. Kalenderwoche ein!_x000a__________________________" sqref="L18" xr:uid="{0731115A-0BDF-49EC-961C-EC8392BCA13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03. Kalenderwoche ein!_x000a__________________________" sqref="M18" xr:uid="{F612F3F0-E6B0-453C-A4CF-CA4E03CCEB6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03. Kalenderwoche ein!_x000a__________________________" sqref="N18" xr:uid="{91B6270B-F830-4B8C-9BDF-427A8CA2477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03. Kalenderwoche ein!_x000a__________________________" sqref="O18" xr:uid="{43A9E4C2-018A-4AC3-BE7C-824052AA23A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03. Kalenderwoche ein!_x000a__________________________" sqref="P18" xr:uid="{DB0E4E39-15FF-47C3-AAAD-2C5186C5B73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03. Kalenderwoche ein!_x000a__________________________" sqref="Q18" xr:uid="{24A58495-8FE6-49A8-AC24-6A22D37B3CD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03. Kalenderwoche ein!_x000a__________________________" sqref="R18" xr:uid="{7362B781-BEF3-4BC4-BCFD-0BEE7CDA978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04. Kalenderwoche ein!_x000a__________________________" sqref="L19" xr:uid="{22476737-E47E-435C-8D76-72F36E7AA5F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04. Kalenderwoche ein!_x000a__________________________" sqref="M19" xr:uid="{91581C67-3CAF-4704-97AD-17070E3A15A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04. Kalenderwoche ein!_x000a__________________________" sqref="N19" xr:uid="{AA40583D-E4F8-422F-A1ED-2C1E0138B24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04. Kalenderwoche ein!_x000a__________________________" sqref="O19" xr:uid="{B5C7B844-4A27-47B5-92E7-952293FF299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04. Kalenderwoche ein!_x000a__________________________" sqref="P19" xr:uid="{E7BB4ED0-BAD7-4BAC-BDA5-B101FEFD110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04. Kalenderwoche ein!_x000a__________________________" sqref="Q19" xr:uid="{9BAED948-83EF-4900-8F18-4EB3B0E4DE7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04. Kalenderwoche ein!_x000a__________________________" sqref="R19" xr:uid="{924E459C-0849-431F-B453-0574CE552A9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05. Kalenderwoche ein!_x000a__________________________" sqref="L20" xr:uid="{1143A8A8-C309-47B2-85B4-70052F0960C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05. Kalenderwoche ein!_x000a__________________________" sqref="M20" xr:uid="{C377C001-116B-4401-8B4D-8A1E1714696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05. Kalenderwoche ein!_x000a__________________________" sqref="N20" xr:uid="{F2F92516-EB07-4D29-84B7-4BF23618D46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05. Kalenderwoche ein!_x000a__________________________" sqref="O20" xr:uid="{9D5C3733-577A-41F0-A571-A844B8DEA62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05. Kalenderwoche ein!_x000a__________________________" sqref="P20" xr:uid="{D2274A9F-4725-4A13-82D4-BBE4C8CEDA0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05. Kalenderwoche ein!_x000a__________________________" sqref="Q20" xr:uid="{07F54596-CF8E-4FCE-A439-24BFD704869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05. Kalenderwoche ein!_x000a__________________________" sqref="R20" xr:uid="{A1515F90-C7BD-4566-94DF-F83B810E45C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06. Kalenderwoche ein!_x000a__________________________" sqref="L21" xr:uid="{A9B628FB-7800-4DEE-AE4E-DF5A677CDB1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06. Kalenderwoche ein!_x000a__________________________" sqref="M21" xr:uid="{54D1F153-BB5F-42BB-822D-07FCA3C2EB5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06. Kalenderwoche ein!_x000a__________________________" sqref="N21" xr:uid="{11F8D5AD-6FBC-4D65-856E-7D2587785F6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06. Kalenderwoche ein!_x000a__________________________" sqref="O21" xr:uid="{9207746E-CEF8-4D75-9C73-94F00B2A8AA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06. Kalenderwoche ein!_x000a__________________________" sqref="P21" xr:uid="{79C70B87-55FA-4ADD-B346-A7E7C682D7F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06. Kalenderwoche ein!_x000a__________________________" sqref="Q21" xr:uid="{61E51FFE-2586-4F3B-A927-B4E9E49ECF5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06. Kalenderwoche ein!_x000a__________________________" sqref="R21" xr:uid="{223F6DF4-71E9-41C7-B9A7-1EC351F0807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07. Kalenderwoche ein!_x000a__________________________" sqref="L22" xr:uid="{F91133A1-64B9-4A06-B939-89B1020B8E1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07. Kalenderwoche ein!_x000a__________________________" sqref="M22" xr:uid="{7DCB6671-834A-4710-8631-1129C96A07D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07. Kalenderwoche ein!_x000a__________________________" sqref="N22" xr:uid="{B46668EB-372C-4A9E-96ED-B8178351268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07. Kalenderwoche ein!_x000a__________________________" sqref="O22" xr:uid="{62044060-09DA-4248-A95E-CD731973404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07. Kalenderwoche ein!_x000a__________________________" sqref="P22" xr:uid="{3A278616-F4D6-4032-8618-740FDA6E81B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07. Kalenderwoche ein!_x000a__________________________" sqref="Q22" xr:uid="{56305E4C-565D-4E15-A0C9-6EED550802A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07. Kalenderwoche ein!_x000a__________________________" sqref="R22" xr:uid="{CB418EC4-471C-410A-886F-6F8CF94BC71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08. Kalenderwoche ein!_x000a__________________________" sqref="L23" xr:uid="{9C59AA26-AE96-4EE2-BCF9-C20764E0B8B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08. Kalenderwoche ein!_x000a__________________________" sqref="M23" xr:uid="{4FC736D0-2FB2-40EA-A0CB-B84BAB0792D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08. Kalenderwoche ein!_x000a__________________________" sqref="N23" xr:uid="{8457CBB2-EFED-4A5F-86A7-922C39ACB9D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08. Kalenderwoche ein!_x000a__________________________" sqref="O23" xr:uid="{141FFEC2-9BF6-409C-8688-6C4C64B2E23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08. Kalenderwoche ein!_x000a__________________________" sqref="P23" xr:uid="{0C398F7E-17C7-45CE-8652-8F63A4C04D6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08. Kalenderwoche ein!_x000a__________________________" sqref="Q23" xr:uid="{C4A4F4A0-FAF9-4789-9256-68C68742A34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08. Kalenderwoche ein!_x000a__________________________" sqref="R23" xr:uid="{72F90FEE-ACAC-45CD-A95C-565B01126FF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09. Kalenderwoche ein!_x000a__________________________" sqref="L24" xr:uid="{6FA367F3-766D-41E7-8CF6-2A7B611154D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09. Kalenderwoche ein!_x000a__________________________" sqref="M24" xr:uid="{6A397362-7A8A-45AF-94A2-992E09583E5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09. Kalenderwoche ein!_x000a__________________________" sqref="N24" xr:uid="{325917F5-FC98-4B72-A24A-0CC2269C89E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09. Kalenderwoche ein!_x000a__________________________" sqref="O24" xr:uid="{6EDDF44E-9DED-4008-96A2-EF929D23A6D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09. Kalenderwoche ein!_x000a__________________________" sqref="P24" xr:uid="{F8832107-0932-41F9-AD65-64633DEF002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09. Kalenderwoche ein!_x000a__________________________" sqref="Q24" xr:uid="{09036AD8-E33B-471D-86C4-DEA247D8B1E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09. Kalenderwoche ein!_x000a__________________________" sqref="R24" xr:uid="{71935EAA-D1D9-422A-9A3D-5994AC49197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0. Kalenderwoche ein!_x000a__________________________" sqref="L25" xr:uid="{5260C1C0-C17F-4C28-9962-7FB4A1CDC29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0. Kalenderwoche ein!_x000a__________________________" sqref="M25" xr:uid="{6BB0C7F6-00AE-437B-8872-BDF230348B6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0. Kalenderwoche ein!_x000a__________________________" sqref="N25" xr:uid="{4D106B1C-B9E4-4BF7-9895-13A2DEA0C09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0. Kalenderwoche ein!_x000a__________________________" sqref="O25" xr:uid="{05529D4D-21DC-4DF9-BF2D-7F531ACE13F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0. Kalenderwoche ein!_x000a__________________________" sqref="P25" xr:uid="{E12FE367-E8B6-4F5C-ACF1-88750C891CD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0. Kalenderwoche ein!_x000a__________________________" sqref="Q25" xr:uid="{613FD836-E12E-4F52-B193-813B6879950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0. Kalenderwoche ein!_x000a__________________________" sqref="R25" xr:uid="{1F99B206-4DB7-4702-B8CF-0E3F22ADF6E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1. Kalenderwoche ein!_x000a__________________________" sqref="L26" xr:uid="{63F2AA87-FB64-471C-814E-F1F2370FBAC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1. Kalenderwoche ein!_x000a__________________________" sqref="M26" xr:uid="{93138E97-7B00-4E80-A61D-FBE3D3DC177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1. Kalenderwoche ein!_x000a__________________________" sqref="N26" xr:uid="{4624CE2F-AD2A-4587-89A9-8E98483AC1B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1. Kalenderwoche ein!_x000a__________________________" sqref="O26" xr:uid="{CE7FC485-61C2-4688-81AB-1016792EFE7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1. Kalenderwoche ein!_x000a__________________________" sqref="P26" xr:uid="{CF421E93-8825-4AC8-8457-F04DAA39319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1. Kalenderwoche ein!_x000a__________________________" sqref="Q26" xr:uid="{D86B54B1-2FBA-4972-B310-C94B4F695FF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1. Kalenderwoche ein!_x000a__________________________" sqref="R26" xr:uid="{1CE2F823-A6EA-4CF0-BDF6-FEB14FA2361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2. Kalenderwoche ein!_x000a__________________________" sqref="L27" xr:uid="{4E67CC71-2212-4594-8953-0ACD6538F0A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2. Kalenderwoche ein!_x000a__________________________" sqref="M27" xr:uid="{1DAD0D9F-6F8F-40F6-BAFB-2782340F3A3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2. Kalenderwoche ein!_x000a__________________________" sqref="N27" xr:uid="{7DF42847-1B90-430A-AD28-E9C1F99AF25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2. Kalenderwoche ein!_x000a__________________________" sqref="O27" xr:uid="{A1D9552D-3BF3-4068-9F57-AA17DDFB082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2. Kalenderwoche ein!_x000a__________________________" sqref="P27" xr:uid="{CD0ADD2C-1947-41D1-8B6D-84A5FB44060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2. Kalenderwoche ein!_x000a__________________________" sqref="Q27" xr:uid="{F872C541-2B98-4AE9-AA77-E8D94CF9AC0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2. Kalenderwoche ein!_x000a__________________________" sqref="R27" xr:uid="{D99AD873-E59C-4C34-957E-6E3E92A6AB2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3. Kalenderwoche ein!_x000a__________________________" sqref="L28" xr:uid="{4D9D1043-69F9-4056-A431-006DDA5EE8A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3. Kalenderwoche ein!_x000a__________________________" sqref="M28" xr:uid="{606554BB-139E-4514-899F-026059E3E7B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3. Kalenderwoche ein!_x000a__________________________" sqref="N28" xr:uid="{B5B31F36-BD4D-4325-942E-6B4F0217629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3. Kalenderwoche ein!_x000a__________________________" sqref="O28" xr:uid="{6C5EE477-40EB-4E29-BF68-DD3EBC56053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3. Kalenderwoche ein!_x000a__________________________" sqref="P28" xr:uid="{30DE38D7-9F08-4F6B-8FAA-FDB87009B25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3. Kalenderwoche ein!_x000a__________________________" sqref="Q28" xr:uid="{1F5DDBA6-5ADA-4169-AAFF-7F8BFA504FC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3. Kalenderwoche ein!_x000a__________________________" sqref="R28" xr:uid="{EC1C35CA-6DD1-4F8B-A7AC-56D6F9A4C28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4. Kalenderwoche ein!_x000a__________________________" sqref="L29" xr:uid="{2D8CD5D3-A2DE-4561-9658-18E1B61094C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4. Kalenderwoche ein!_x000a__________________________" sqref="M29" xr:uid="{45E36E4B-504D-403F-A015-0DCA9AC8C1B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4. Kalenderwoche ein!_x000a__________________________" sqref="N29" xr:uid="{E00D2455-1B9D-4C9D-8582-CBD525ADF36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4. Kalenderwoche ein!_x000a__________________________" sqref="O29" xr:uid="{5E80E3CC-001F-4D98-93C9-1EE81468F3F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4. Kalenderwoche ein!_x000a__________________________" sqref="P29" xr:uid="{4A529508-E09C-4B34-B1DB-EE52950A337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4. Kalenderwoche ein!_x000a__________________________" sqref="Q29" xr:uid="{4A677C62-1D7F-4127-B07D-A182C9A5742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4. Kalenderwoche ein!_x000a__________________________" sqref="R29" xr:uid="{A2404F7A-07F6-4743-90A1-C8819BB6AB6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5. Kalenderwoche ein!_x000a__________________________" sqref="L30" xr:uid="{2AD17201-53CB-4C27-A18A-25F57B84D46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5. Kalenderwoche ein!_x000a__________________________" sqref="M30" xr:uid="{3BBB6111-C113-460D-9544-0504BCCD381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5. Kalenderwoche ein!_x000a__________________________" sqref="N30" xr:uid="{3E930557-69F2-482B-BC25-579C2E20BAD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5. Kalenderwoche ein!_x000a__________________________" sqref="O30" xr:uid="{FB2CAE1F-FF6D-4A93-87A7-07551E2D734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5. Kalenderwoche ein!_x000a__________________________" sqref="P30" xr:uid="{D86FF6F8-AA32-4947-A079-80A6F290685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5. Kalenderwoche ein!_x000a__________________________" sqref="Q30" xr:uid="{0B0E30F0-6D27-424F-B2DF-2253E9AB2A3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5. Kalenderwoche ein!_x000a__________________________" sqref="R30" xr:uid="{C4D86A58-3831-4185-AFDD-E96474278F7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6. Kalenderwoche ein!_x000a__________________________" sqref="L31" xr:uid="{095B5220-5613-495B-96A1-C4531817561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6. Kalenderwoche ein!_x000a__________________________" sqref="M31" xr:uid="{5E47F990-2B7F-44F2-87F9-3B59ECC5068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6. Kalenderwoche ein!_x000a__________________________" sqref="N31" xr:uid="{FC19C9EE-B5E7-4935-A18E-228B40B6415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6. Kalenderwoche ein!_x000a__________________________" sqref="O31" xr:uid="{C708A8E0-99B2-41BE-BCDB-7896A3BC663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6. Kalenderwoche ein!_x000a__________________________" sqref="P31" xr:uid="{5C176F82-1CB4-49E5-A338-4CF844F4BB3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6. Kalenderwoche ein!_x000a__________________________" sqref="Q31" xr:uid="{1CDD5F48-80CE-4E92-BFC4-174DD35A8C4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6. Kalenderwoche ein!_x000a__________________________" sqref="R31" xr:uid="{9CCC1770-1330-4855-B86D-5F324844161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7. Kalenderwoche ein!_x000a__________________________" sqref="L32" xr:uid="{F17E18D8-E042-49C2-9857-26631D31421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7. Kalenderwoche ein!_x000a__________________________" sqref="M32" xr:uid="{8829B0C3-7446-4636-B898-FDBA10D286E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7. Kalenderwoche ein!_x000a__________________________" sqref="N32" xr:uid="{B1D568E6-58FD-4820-9989-12E085FC354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7. Kalenderwoche ein!_x000a__________________________" sqref="O32" xr:uid="{4A0F5732-4A84-4BD1-A3BD-F4591364195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7. Kalenderwoche ein!_x000a__________________________" sqref="P32" xr:uid="{0B32E3AD-CC2F-4736-8DF8-313F9D818A3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7. Kalenderwoche ein!_x000a__________________________" sqref="Q32" xr:uid="{7F5783DB-1BA4-4537-8AD5-F0D39FDCCF1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7. Kalenderwoche ein!_x000a__________________________" sqref="R32" xr:uid="{E590EF9E-4EF0-4046-B27B-574C5BF32AD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8. Kalenderwoche ein!_x000a__________________________" sqref="L33" xr:uid="{689483F3-2437-445D-A68D-EECD5AF1A79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8. Kalenderwoche ein!_x000a__________________________" sqref="M33" xr:uid="{2E5E6633-7522-4352-9547-2771D06A566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8. Kalenderwoche ein!_x000a__________________________" sqref="N33" xr:uid="{842B40B6-8E6F-4A67-A7F1-080BB28C309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8. Kalenderwoche ein!_x000a__________________________" sqref="O33" xr:uid="{CC0BD40A-EF58-4F8A-A606-F82870A9088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8. Kalenderwoche ein!_x000a__________________________" sqref="P33" xr:uid="{CDC2BC85-5700-4620-9444-D12BFCEF2CB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8. Kalenderwoche ein!_x000a__________________________" sqref="Q33" xr:uid="{4E2E7E05-E064-4052-B095-7B71682274D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8. Kalenderwoche ein!_x000a__________________________" sqref="R33" xr:uid="{1A7CBB7F-C9A3-4E2D-8C2C-AE50A1FAF1B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19. Kalenderwoche ein!_x000a__________________________" sqref="L34" xr:uid="{9A582B32-2939-452E-B52D-826220BBCF3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19. Kalenderwoche ein!_x000a__________________________" sqref="M34" xr:uid="{5DBADBDC-2318-472D-AF63-B8DD87AAF45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19. Kalenderwoche ein!_x000a__________________________" sqref="N34" xr:uid="{A758F8BE-E4D2-4A30-8DB8-2C3152B00C4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19. Kalenderwoche ein!_x000a__________________________" sqref="O34" xr:uid="{49694C84-8510-4C02-9C01-3A1B8655769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19. Kalenderwoche ein!_x000a__________________________" sqref="P34" xr:uid="{089A6313-0BF7-4067-9D57-C519F9E5601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19. Kalenderwoche ein!_x000a__________________________" sqref="Q34" xr:uid="{88A51C7E-70D1-4032-9346-8C161CB19BB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19. Kalenderwoche ein!_x000a__________________________" sqref="R34" xr:uid="{A9BD1EB5-8A02-4CFB-BB1B-F1AC2C0C4DA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0. Kalenderwoche ein!_x000a__________________________" sqref="L35" xr:uid="{860D2229-A1C4-4BD1-B568-47361AB9960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0. Kalenderwoche ein!_x000a__________________________" sqref="M35" xr:uid="{0CDF179C-D3CF-4EEB-81EA-D0A7E08AB42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0. Kalenderwoche ein!_x000a__________________________" sqref="N35" xr:uid="{91C22996-0FF8-4659-8A36-983F397BDB1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0. Kalenderwoche ein!_x000a__________________________" sqref="O35" xr:uid="{62A66204-7BAD-4500-AEB8-11836E3FB64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0. Kalenderwoche ein!_x000a__________________________" sqref="P35" xr:uid="{3C27E8C0-2A8F-4A03-823F-7905459CFCA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0. Kalenderwoche ein!_x000a__________________________" sqref="Q35" xr:uid="{3D967DD8-FD76-46F4-914D-3D3EA7AA538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0. Kalenderwoche ein!_x000a__________________________" sqref="R35" xr:uid="{FDB69A1B-AF4C-4566-9667-97A97B4C8BE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1. Kalenderwoche ein!_x000a__________________________" sqref="L36" xr:uid="{EF351894-E6B1-41EA-9C60-13CA1896549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1. Kalenderwoche ein!_x000a__________________________" sqref="M36" xr:uid="{C9BC807D-C043-46E5-ADB5-1C45C32D110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1. Kalenderwoche ein!_x000a__________________________" sqref="N36" xr:uid="{B1664ACC-8183-4C9E-8B93-D1B03442D01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1. Kalenderwoche ein!_x000a__________________________" sqref="O36" xr:uid="{92BC9FD0-695F-41C7-BC24-F4A41EDD174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1. Kalenderwoche ein!_x000a__________________________" sqref="P36" xr:uid="{FA41E166-F7EB-4586-AA74-2A5F5A2AA78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1. Kalenderwoche ein!_x000a__________________________" sqref="Q36" xr:uid="{1BC1350C-039B-40B3-B1AE-2B809D59688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1. Kalenderwoche ein!_x000a__________________________" sqref="R36" xr:uid="{EFD5087A-28A0-497F-93D5-F19D655E6AA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2. Kalenderwoche ein!_x000a__________________________" sqref="L37" xr:uid="{BCA5026A-7A95-4628-A728-2E0E8C76BEE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2. Kalenderwoche ein!_x000a__________________________" sqref="M37" xr:uid="{CC094416-0F1A-4939-B010-D5551F23238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2. Kalenderwoche ein!_x000a__________________________" sqref="N37" xr:uid="{30C36685-BA44-4232-BEAF-CC84EF633B2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2. Kalenderwoche ein!_x000a__________________________" sqref="O37" xr:uid="{D3CC4882-05B4-4B4B-975A-27DB36ECFFB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2. Kalenderwoche ein!_x000a__________________________" sqref="P37" xr:uid="{4B8332AD-7F06-4800-A48C-7E966A7CA5B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2. Kalenderwoche ein!_x000a__________________________" sqref="Q37" xr:uid="{6E7850E5-4540-4E48-BABB-4FF284F856B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2. Kalenderwoche ein!_x000a__________________________" sqref="R37" xr:uid="{743E365A-9233-435B-9814-745FAA25EDD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3. Kalenderwoche ein!_x000a__________________________" sqref="L38" xr:uid="{66769648-6453-43E9-9289-D8A2B7704E9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3. Kalenderwoche ein!_x000a__________________________" sqref="M38" xr:uid="{72A1B528-5076-47BE-8DAA-8C6EB96BA41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3. Kalenderwoche ein!_x000a__________________________" sqref="N38" xr:uid="{833136C7-9718-4BA8-8A9C-C6112AB870E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3. Kalenderwoche ein!_x000a__________________________" sqref="O38" xr:uid="{9A2CBD67-944C-43DF-92E9-21F6D7FF44C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3. Kalenderwoche ein!_x000a__________________________" sqref="P38" xr:uid="{C48BD3DA-CACC-4D61-A5D6-BD6CABD32D7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3. Kalenderwoche ein!_x000a__________________________" sqref="Q38" xr:uid="{76C57CA5-43EE-4721-834A-DE7350C8415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3. Kalenderwoche ein!_x000a__________________________" sqref="R38" xr:uid="{03E998B6-E55F-40EF-B016-BE86006822B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4. Kalenderwoche ein!_x000a__________________________" sqref="L39" xr:uid="{31374A0E-8D5C-426E-9AAB-F04537407DB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4. Kalenderwoche ein!_x000a__________________________" sqref="M39" xr:uid="{A53AC467-D130-447A-A0A2-02A1E5D3D6E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4. Kalenderwoche ein!_x000a__________________________" sqref="N39" xr:uid="{C48696FB-356E-4FAA-8156-628E39596C7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4. Kalenderwoche ein!_x000a__________________________" sqref="O39" xr:uid="{D3C8608B-D611-46CF-BFF0-17CA8FC73F1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4. Kalenderwoche ein!_x000a__________________________" sqref="P39" xr:uid="{B2CFBDDA-88CF-4530-BD0C-8CA14429EF6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4. Kalenderwoche ein!_x000a__________________________" sqref="Q39" xr:uid="{68CEE54D-A723-46B6-8FD8-D3DDE7E5186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4. Kalenderwoche ein!_x000a__________________________" sqref="R39" xr:uid="{88C89833-496C-458C-AFAA-D2512E275E9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5. Kalenderwoche ein!_x000a__________________________" sqref="L40" xr:uid="{DDA53D9E-B73C-4E5A-B30F-F734C2290E7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5. Kalenderwoche ein!_x000a__________________________" sqref="M40" xr:uid="{29215F88-2DD0-4181-90E8-EC61E3878B1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5. Kalenderwoche ein!_x000a__________________________" sqref="N40" xr:uid="{D2D4046C-7D4E-4ED8-A8F9-1EB19ADF03C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5. Kalenderwoche ein!_x000a__________________________" sqref="O40" xr:uid="{EBD8A96A-5A72-4FAD-BDA7-4AECCBCF1F2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5. Kalenderwoche ein!_x000a__________________________" sqref="P40" xr:uid="{6F8D649D-F703-4CC3-AADF-1D0623EF7FE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5. Kalenderwoche ein!_x000a__________________________" sqref="Q40" xr:uid="{FF456C15-4117-421A-9E80-95216CC9022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5. Kalenderwoche ein!_x000a__________________________" sqref="R40" xr:uid="{FBF7F3AB-AC91-4C01-AF9B-B7AADB3B9CA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6. Kalenderwoche ein!_x000a__________________________" sqref="L41" xr:uid="{A184C2E2-E2ED-4F7E-B74F-8F6ACA168E6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6. Kalenderwoche ein!_x000a__________________________" sqref="M41" xr:uid="{BD123175-D3AB-4DF2-98D7-8DC91674375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6. Kalenderwoche ein!_x000a__________________________" sqref="N41" xr:uid="{154995C8-16D2-4B57-82BE-FAF70F35750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6. Kalenderwoche ein!_x000a__________________________" sqref="O41" xr:uid="{0AD26ED0-0FFA-4D7A-896B-645E79C4845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6. Kalenderwoche ein!_x000a__________________________" sqref="P41" xr:uid="{D41B8495-F063-4DBC-9171-C79805BA6F7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6. Kalenderwoche ein!_x000a__________________________" sqref="Q41" xr:uid="{4FD5114F-01F4-49EA-A57E-4492065D229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6. Kalenderwoche ein!_x000a__________________________" sqref="R41" xr:uid="{F7DA43B9-86A2-48EF-BC50-6658136B99C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7. Kalenderwoche ein!_x000a__________________________" sqref="L42" xr:uid="{B8436A7B-CD96-48FA-9159-C6FC3A8C251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7. Kalenderwoche ein!_x000a__________________________" sqref="M42" xr:uid="{287D5543-B962-4E94-A730-AF101D1C997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7. Kalenderwoche ein!_x000a__________________________" sqref="N42" xr:uid="{C6CD5B25-5DBF-4DAB-9A63-D9A70DABB23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7. Kalenderwoche ein!_x000a__________________________" sqref="O42" xr:uid="{50621F1C-DF5D-455F-B31A-2B2E33756FE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7. Kalenderwoche ein!_x000a__________________________" sqref="P42" xr:uid="{1D06276A-09B6-45CE-BA03-EC42E3DA8AB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7. Kalenderwoche ein!_x000a__________________________" sqref="Q42" xr:uid="{DC79AFD8-52EB-400D-AFC0-FDD6119DCC8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7. Kalenderwoche ein!_x000a__________________________" sqref="R42" xr:uid="{9183238F-E562-4CA3-BA09-1117D31C4A4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8. Kalenderwoche ein!_x000a__________________________" sqref="L43" xr:uid="{4982AC73-AA06-4F43-A88C-6B589ECE82D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8. Kalenderwoche ein!_x000a__________________________" sqref="M43" xr:uid="{82AA1054-E944-4CEF-98A8-09AAEFF033C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8. Kalenderwoche ein!_x000a__________________________" sqref="N43" xr:uid="{8C88E9A2-301D-4EDE-A3A7-3373E17E051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8. Kalenderwoche ein!_x000a__________________________" sqref="O43" xr:uid="{F12339CE-79AD-484D-AAC5-2B6B628FCFC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8. Kalenderwoche ein!_x000a__________________________" sqref="P43" xr:uid="{5E18F25F-B151-458F-A765-23C931B26EB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8. Kalenderwoche ein!_x000a__________________________" sqref="Q43" xr:uid="{620F8A97-F9E8-4B0F-AF1D-4888FB76274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8. Kalenderwoche ein!_x000a__________________________" sqref="R43" xr:uid="{FE001109-70AA-4804-A63E-8B73A25EE55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29. Kalenderwoche ein!_x000a__________________________" sqref="L44" xr:uid="{DC52C652-FCB3-4C31-BE1D-F6F94300ECC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29. Kalenderwoche ein!_x000a__________________________" sqref="M44" xr:uid="{98F2C35F-710B-4050-AF24-0662AB5CDD2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29. Kalenderwoche ein!_x000a__________________________" sqref="N44" xr:uid="{AF8D38F6-C926-47E7-A4C3-CDCA88F0F85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29. Kalenderwoche ein!_x000a__________________________" sqref="O44" xr:uid="{0F3F172D-53F2-4621-B70C-E4D6643C9DA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29. Kalenderwoche ein!_x000a__________________________" sqref="P44" xr:uid="{0AF5DA03-83E2-4FF4-8A3E-7A599CFB4E4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29. Kalenderwoche ein!_x000a__________________________" sqref="Q44" xr:uid="{362EBBFC-1832-445E-B42A-59CEB135B3D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29. Kalenderwoche ein!_x000a__________________________" sqref="R44" xr:uid="{A7AA45CC-CF0C-4A94-9DAC-BBBF31846E9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0. Kalenderwoche ein!_x000a__________________________" sqref="L45" xr:uid="{FE97CC5C-CF1B-4352-9A03-2EF004CA6E3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0. Kalenderwoche ein!_x000a__________________________" sqref="M45" xr:uid="{6DA62933-73D1-40D0-9EED-B7BC244D185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0. Kalenderwoche ein!_x000a__________________________" sqref="N45" xr:uid="{95B9235A-497B-43EA-A3D0-F44F8D31383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0. Kalenderwoche ein!_x000a__________________________" sqref="O45" xr:uid="{5ACAEF43-E579-471A-8D9E-276F8E424B7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0. Kalenderwoche ein!_x000a__________________________" sqref="P45" xr:uid="{29457647-06DA-4A16-B821-F669A918650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0. Kalenderwoche ein!_x000a__________________________" sqref="Q45" xr:uid="{014E7289-508B-402E-A6F6-DA5478BEE4E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0. Kalenderwoche ein!_x000a__________________________" sqref="R45" xr:uid="{E1AE372D-EF81-45EF-BFA8-704F5FF8854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1. Kalenderwoche ein!_x000a__________________________" sqref="L46" xr:uid="{2C8886A0-A4E4-4262-ADD4-7FE41CB04D3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2. Kalenderwoche ein!_x000a__________________________" sqref="L47" xr:uid="{64834443-F25B-425F-AF16-18942DB6FDC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1. Kalenderwoche ein!_x000a__________________________" sqref="M46" xr:uid="{937A4F6E-4554-45FA-874C-198ED1A6C01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1. Kalenderwoche ein!_x000a__________________________" sqref="N46" xr:uid="{A67DE2DB-1A2A-4C44-A6B0-AF7D5E3C356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1. Kalenderwoche ein!_x000a__________________________" sqref="O46" xr:uid="{9369D89C-7918-46BF-B297-D83B7648379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1. Kalenderwoche ein!_x000a__________________________" sqref="P46" xr:uid="{54DC59A9-5D29-4D6D-9CD5-C33D7CA4DB2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1. Kalenderwoche ein!_x000a__________________________" sqref="Q46" xr:uid="{5D3A8A3D-45B2-4063-A97F-592A8F39179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1. Kalenderwoche ein!_x000a__________________________" sqref="R46" xr:uid="{386D647F-7C3C-49DD-BD9B-17CE3BDDEF2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2. Kalenderwoche ein!_x000a__________________________" sqref="M47" xr:uid="{0853EF75-E1CD-4AEE-B1A4-E556CEC7D55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2. Kalenderwoche ein!_x000a__________________________" sqref="N47" xr:uid="{1561FE06-C79E-4ADB-87FE-EC801BC564B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2. Kalenderwoche ein!_x000a__________________________" sqref="O47" xr:uid="{F75B9B53-5CDC-48F9-BB88-2F74C456510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2. Kalenderwoche ein!_x000a__________________________" sqref="P47" xr:uid="{CDD0DA00-AF7E-4079-952D-1B97EDC96D8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2. Kalenderwoche ein!_x000a__________________________" sqref="Q47" xr:uid="{F209DF16-B66D-4884-83F7-8DFC7A8C63C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2. Kalenderwoche ein!_x000a__________________________" sqref="R47" xr:uid="{98EA5F78-9D9A-4C22-A799-D627BCEDBDA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3. Kalenderwoche ein!_x000a__________________________" sqref="L48" xr:uid="{482CD36C-CF24-471E-B46F-C626CCB8008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3. Kalenderwoche ein!_x000a__________________________" sqref="M48" xr:uid="{934D5E91-D558-4197-B5EF-18552543B64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3. Kalenderwoche ein!_x000a__________________________" sqref="N48" xr:uid="{0CAED663-3A1B-4351-A4D9-A9D7437DFA9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3. Kalenderwoche ein!_x000a__________________________" sqref="O48" xr:uid="{D71E8F78-FF2E-414C-A1D8-73F2FE9809C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3. Kalenderwoche ein!_x000a__________________________" sqref="P48" xr:uid="{E82E1588-5A2C-4395-8FFF-5BBA7C21042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3. Kalenderwoche ein!_x000a__________________________" sqref="Q48" xr:uid="{27EDF36F-E56E-4A3E-92E1-9C0FFD1019C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3. Kalenderwoche ein!_x000a__________________________" sqref="R48" xr:uid="{0A4A716F-DEAE-468E-A833-8A3E4BB7C09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4. Kalenderwoche ein!_x000a__________________________" sqref="L49" xr:uid="{65270821-35B8-4613-AD5E-85D45610D78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4. Kalenderwoche ein!_x000a__________________________" sqref="M49" xr:uid="{3B515B5D-C517-42BF-BA79-4737DD7DA4D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4. Kalenderwoche ein!_x000a__________________________" sqref="N49" xr:uid="{FE9604D9-2AF1-4361-BBD6-D38B2479B04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4. Kalenderwoche ein!_x000a__________________________" sqref="O49" xr:uid="{39C201A9-664C-412D-B66C-C0CE4B42CC5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4. Kalenderwoche ein!_x000a__________________________" sqref="P49" xr:uid="{92EA99E4-FD26-4953-B3CD-811A2763C85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4. Kalenderwoche ein!_x000a__________________________" sqref="Q49" xr:uid="{452E8899-5220-499A-B930-888A7E1340B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4. Kalenderwoche ein!_x000a__________________________" sqref="R49" xr:uid="{C1DEC81D-6B8F-4FE5-9388-766362E4652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5. Kalenderwoche ein!_x000a__________________________" sqref="L50" xr:uid="{0ACA7C0E-99C0-472C-B48F-85778F2851C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5. Kalenderwoche ein!_x000a__________________________" sqref="M50" xr:uid="{7707DBDD-1C4C-413A-B811-0CC0ABBFA9B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5. Kalenderwoche ein!_x000a__________________________" sqref="N50" xr:uid="{0D36D848-1198-4A1D-BDD1-6DCD7AB9E39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5. Kalenderwoche ein!_x000a__________________________" sqref="O50" xr:uid="{15AB5AB0-00CC-4B10-9E25-CB66C0BA452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5. Kalenderwoche ein!_x000a__________________________" sqref="P50" xr:uid="{DEFD09CC-1553-4834-B188-F267BD75444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5. Kalenderwoche ein!_x000a__________________________" sqref="Q50" xr:uid="{D37CC30B-C9E8-4C85-A5A8-BCD7A8505A9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5. Kalenderwoche ein!_x000a__________________________" sqref="R50" xr:uid="{8AF16FCF-0E95-4F0B-A662-92649351519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6. Kalenderwoche ein!_x000a__________________________" sqref="L51" xr:uid="{3B50D511-1FF9-449B-A949-743F10E1DFA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6. Kalenderwoche ein!_x000a__________________________" sqref="M51" xr:uid="{A0FB0498-B09E-400B-BB8D-EE298F5C6F1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6. Kalenderwoche ein!_x000a__________________________" sqref="N51" xr:uid="{055C5E10-94CB-445D-B6ED-FAE86DA76F1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6. Kalenderwoche ein!_x000a__________________________" sqref="O51" xr:uid="{AD675FAD-3B82-46CA-9E5A-18F30458A66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6. Kalenderwoche ein!_x000a__________________________" sqref="P51" xr:uid="{D56BA7D8-B0C3-4E9D-BB0A-0C63A4BD038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6. Kalenderwoche ein!_x000a__________________________" sqref="Q51" xr:uid="{472D174D-0015-4468-8477-93F6BE9A48A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6. Kalenderwoche ein!_x000a__________________________" sqref="R51" xr:uid="{28BAA8A7-43C1-4AA2-9B4A-CE64287D79B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7. Kalenderwoche ein!_x000a__________________________" sqref="L52" xr:uid="{A9796464-8CEE-4BAE-A294-044AB645EF7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7. Kalenderwoche ein!_x000a__________________________" sqref="M52" xr:uid="{C4295292-8B31-423A-862D-42BC964D5EC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7. Kalenderwoche ein!_x000a__________________________" sqref="N52" xr:uid="{01239E8B-9789-4AA1-BF0E-76BA262A7D0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7. Kalenderwoche ein!_x000a__________________________" sqref="O52" xr:uid="{0ECFD3E9-0BA4-478D-B6B7-D65CED8B746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7. Kalenderwoche ein!_x000a__________________________" sqref="P52" xr:uid="{1641F5A5-7138-4401-A7CD-22FB9AECD87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7. Kalenderwoche ein!_x000a__________________________" sqref="Q52" xr:uid="{0579CB8E-6C13-4FD1-AE82-13662A58BF6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7. Kalenderwoche ein!_x000a__________________________" sqref="R52" xr:uid="{6ED6EB76-BC38-41F7-810B-D9C5EE6ECBD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8. Kalenderwoche ein!_x000a__________________________" sqref="L53" xr:uid="{3F88DB8E-4562-4C69-9134-4762E5CCF11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39. Kalenderwoche ein!_x000a__________________________" sqref="L54" xr:uid="{E5018F28-CDBC-48F1-99DC-0721F8888BE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8. Kalenderwoche ein!_x000a__________________________" sqref="M53" xr:uid="{B1D3864E-5D1F-4C53-81A1-3C227D6EBCC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39. Kalenderwoche ein!_x000a__________________________" sqref="M54" xr:uid="{B8654B9F-52AE-4C61-A8A9-3DAD7F492A9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8. Kalenderwoche ein!_x000a__________________________" sqref="N53" xr:uid="{43BFC99E-E056-4AA5-AB35-2469388012F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8. Kalenderwoche ein!_x000a__________________________" sqref="O53" xr:uid="{55AD643C-9D28-40EE-BBC2-9D28307502D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8. Kalenderwoche ein!_x000a__________________________" sqref="P53" xr:uid="{DE81A4EC-F8BF-43DA-AD7C-177D1AB3B0B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8. Kalenderwoche ein!_x000a__________________________" sqref="Q53" xr:uid="{82678031-E106-4C40-9A4B-09512680843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8. Kalenderwoche ein!_x000a__________________________" sqref="R53" xr:uid="{4A74BD19-3C82-40EC-8706-3FDE42F14E6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39. Kalenderwoche ein!_x000a__________________________" sqref="N54" xr:uid="{DEF1F5A9-387E-48F5-B290-EAD9CC49253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39. Kalenderwoche ein!_x000a__________________________" sqref="O54" xr:uid="{D84E6B87-CA5F-4042-B011-A4D73D1085E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39. Kalenderwoche ein!_x000a__________________________" sqref="P54" xr:uid="{6C97100E-3E08-4F2D-A1D7-08C1DAE7AC8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39. Kalenderwoche ein!_x000a__________________________" sqref="Q54" xr:uid="{C2E9C1F7-B975-4002-A3F4-B3D3601C76C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39. Kalenderwoche ein!_x000a__________________________" sqref="R54" xr:uid="{57F02B86-D222-44D6-A530-BCDDF45DC7D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0. Kalenderwoche ein!_x000a__________________________" sqref="L55" xr:uid="{2AA48765-D421-4095-8ED7-1FBFE451B10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0. Kalenderwoche ein!_x000a__________________________" sqref="M55" xr:uid="{2DAF7671-BD1C-46F8-917A-A4307527F95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0. Kalenderwoche ein!_x000a__________________________" sqref="N55" xr:uid="{04104A51-C77B-4364-86DE-1BE6788E83C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0. Kalenderwoche ein!_x000a__________________________" sqref="O55" xr:uid="{E7B9DBE8-DF32-448D-B892-CD18C8A0848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0. Kalenderwoche ein!_x000a__________________________" sqref="P55" xr:uid="{9323E309-CF4A-44B0-9127-149F6FCF5B5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0. Kalenderwoche ein!_x000a__________________________" sqref="Q55" xr:uid="{AE6854DF-6A84-4AE1-BBDB-91570B31055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0. Kalenderwoche ein!_x000a__________________________" sqref="R55" xr:uid="{9CCC9C6B-BBD8-4FEE-8F08-CAEAE0C64F1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1. Kalenderwoche ein!_x000a__________________________" sqref="L56" xr:uid="{0B40FDAB-F0C3-48CE-A2C9-484D7BE893D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1. Kalenderwoche ein!_x000a__________________________" sqref="M56" xr:uid="{F0F9278A-738F-4B7D-9D46-B48DE0EEE59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1. Kalenderwoche ein!_x000a__________________________" sqref="N56" xr:uid="{23C2A84C-F228-4AC3-804A-78B17812574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1. Kalenderwoche ein!_x000a__________________________" sqref="O56" xr:uid="{AB3867C6-7EC5-4521-833F-691B05F8399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1. Kalenderwoche ein!_x000a__________________________" sqref="P56" xr:uid="{3CC0A07F-6267-494E-860E-840E917326B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1. Kalenderwoche ein!_x000a__________________________" sqref="Q56" xr:uid="{79E140AD-275E-407C-B8BD-85CF9E3EC28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1. Kalenderwoche ein!_x000a__________________________" sqref="R56" xr:uid="{C6145E32-CB88-431A-9904-EC378EB9BD7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2. Kalenderwoche ein!_x000a__________________________" sqref="L57" xr:uid="{71ABD207-F0F5-4B1F-B1B0-50A9E10E359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2. Kalenderwoche ein!_x000a__________________________" sqref="M57" xr:uid="{30F01401-91D7-4522-B009-00E58127DC4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2. Kalenderwoche ein!_x000a__________________________" sqref="N57" xr:uid="{95DB7870-7B7B-4273-9D61-3B275C52A6C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2. Kalenderwoche ein!_x000a__________________________" sqref="O57" xr:uid="{50AB5018-877B-4C20-8375-2E8B40A9038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2. Kalenderwoche ein!_x000a__________________________" sqref="P57" xr:uid="{B98C243A-E845-4158-B0E8-B262B2AD434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2. Kalenderwoche ein!_x000a__________________________" sqref="Q57" xr:uid="{862CD532-5930-4D40-828F-84F2A138828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2. Kalenderwoche ein!_x000a__________________________" sqref="R57" xr:uid="{BB6FCAC8-015B-455A-9366-A9A3E06E8B9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3. Kalenderwoche ein!_x000a__________________________" sqref="L58" xr:uid="{BAACBD97-587A-4359-AD8A-FC05D172331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3. Kalenderwoche ein!_x000a__________________________" sqref="M58" xr:uid="{9A98CBF4-C5DC-48DF-A70D-2369CE6AE80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3. Kalenderwoche ein!_x000a__________________________" sqref="N58" xr:uid="{7BD7A945-18BE-4ECF-975D-22CA9AAFA18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3. Kalenderwoche ein!_x000a__________________________" sqref="O58" xr:uid="{273C53E6-15A0-4DA6-9BF7-8195F021FE4F}">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3. Kalenderwoche ein!_x000a__________________________" sqref="P58" xr:uid="{5431EC76-7D1B-4B88-B273-64BB169D831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3. Kalenderwoche ein!_x000a__________________________" sqref="Q58" xr:uid="{0F9688FD-FF5F-4485-91A9-5CCBDFAC81D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3. Kalenderwoche ein!_x000a__________________________" sqref="R58" xr:uid="{A30F896D-9631-4021-9DB4-C4F6411A40D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4. Kalenderwoche ein!_x000a__________________________" sqref="L59" xr:uid="{2920FA29-D3BC-4F2E-A440-9D45083F38A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4. Kalenderwoche ein!_x000a__________________________" sqref="M59" xr:uid="{0F26EDD0-519A-4250-8278-A7D3DF01627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4. Kalenderwoche ein!_x000a__________________________" sqref="N59" xr:uid="{F12C97D8-527D-472F-8482-FB6AD9A977F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4. Kalenderwoche ein!_x000a__________________________" sqref="O59" xr:uid="{6C0C85DD-4C2D-47D6-A233-70C5AB7EBED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4. Kalenderwoche ein!_x000a__________________________" sqref="P59" xr:uid="{AD743221-F3FB-47A1-87C5-716448326351}">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4. Kalenderwoche ein!_x000a__________________________" sqref="Q59" xr:uid="{6A79E700-924F-4A67-9692-2499A9AF2DF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4. Kalenderwoche ein!_x000a__________________________" sqref="R59" xr:uid="{C26D0230-CEC7-4B8E-A173-3956EE4E6B4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5. Kalenderwoche ein!_x000a__________________________" sqref="L60" xr:uid="{60E742E0-753A-4A4A-86EC-16CEC2BCB01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5. Kalenderwoche ein!_x000a__________________________" sqref="M60" xr:uid="{16D34EB1-8792-4592-BE09-CD7D2462D33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5. Kalenderwoche ein!_x000a__________________________" sqref="N60" xr:uid="{73AAEA82-CCB5-48C0-9440-F96F0E10268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5. Kalenderwoche ein!_x000a__________________________" sqref="O60" xr:uid="{0451295C-2717-4572-A4F4-47C3CF8B828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5. Kalenderwoche ein!_x000a__________________________" sqref="P60" xr:uid="{D1E36115-BF66-44E0-A8FA-DCA9A79A13A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5. Kalenderwoche ein!_x000a__________________________" sqref="Q60" xr:uid="{B68F938A-DAB3-4526-8A8E-DB06D70C414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5. Kalenderwoche ein!_x000a__________________________" sqref="R60" xr:uid="{474C6A0E-746D-4B57-A66F-7A7E68E973A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6. Kalenderwoche ein!_x000a__________________________" sqref="L61" xr:uid="{9AEB0628-B683-4886-89DC-A4669F96EDC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6. Kalenderwoche ein!_x000a__________________________" sqref="M61" xr:uid="{9EB5D898-18D6-46F0-BD7C-DB98536E70D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6. Kalenderwoche ein!_x000a__________________________" sqref="N61" xr:uid="{6FD9473E-729B-400D-A223-43124ACFEC5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6. Kalenderwoche ein!_x000a__________________________" sqref="O61" xr:uid="{98112C5E-4E68-4BD4-9A88-B95F83291E5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6. Kalenderwoche ein!_x000a__________________________" sqref="P61" xr:uid="{5785C4D9-83A4-4BDD-9A36-CFB9815D079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6. Kalenderwoche ein!_x000a__________________________" sqref="Q61" xr:uid="{D00E85F3-2846-405B-9991-4EB8A78262D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6. Kalenderwoche ein!_x000a__________________________" sqref="R61" xr:uid="{CF3C54FC-CE86-47B3-8AA0-35858ADBD8D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7. Kalenderwoche ein!_x000a__________________________" sqref="L62" xr:uid="{C44A4E3B-7C10-4862-901A-CFABE5973EE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7. Kalenderwoche ein!_x000a__________________________" sqref="M62" xr:uid="{21A293F5-A13C-4DE0-B8B3-C50CC734202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7. Kalenderwoche ein!_x000a__________________________" sqref="N62" xr:uid="{E3D43396-BA19-47A1-8841-D425F97B5A2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7. Kalenderwoche ein!_x000a__________________________" sqref="O62" xr:uid="{0E7FE130-BB5F-4910-9F8A-D55FC632607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7. Kalenderwoche ein!_x000a__________________________" sqref="P62" xr:uid="{4723BBDD-CCB1-4C78-8741-D80FAF7F870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7. Kalenderwoche ein!_x000a__________________________" sqref="Q62" xr:uid="{78F002FF-77D8-4FC2-A66D-71E83A31596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7. Kalenderwoche ein!_x000a__________________________" sqref="R62" xr:uid="{A49857AD-577D-4E2B-AC80-378B45E8A1E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8. Kalenderwoche ein!_x000a__________________________" sqref="L63" xr:uid="{5BF656F6-EC56-4FC7-B06C-E75153B0A3A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49. Kalenderwoche ein!_x000a__________________________" sqref="L64" xr:uid="{92DD855D-B8D4-43A8-95FD-A2BB1BF856B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50. Kalenderwoche ein!_x000a__________________________" sqref="L65" xr:uid="{43E39876-BC06-4790-A6E2-CBBCBE26B54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51. Kalenderwoche ein!_x000a__________________________" sqref="L66" xr:uid="{6BCA70CC-8825-4247-B4E4-BB5F3435ED0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onntag, _x000a_52. Kalenderwoche ein!_x000a__________________________" sqref="L67" xr:uid="{D3BDD9E2-8C72-43CE-A6D6-2D3FD87F34E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8. Kalenderwoche ein!_x000a__________________________" sqref="M63" xr:uid="{9E87835F-7926-4001-9E41-D5F2FEFB30A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8. Kalenderwoche ein!_x000a__________________________" sqref="N63" xr:uid="{1D58859E-5452-4B02-A824-00175056618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8. Kalenderwoche ein!_x000a__________________________" sqref="O63" xr:uid="{EE23A368-D47D-4F1D-856E-BD7ADF1E056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8. Kalenderwoche ein!_x000a__________________________" sqref="P63" xr:uid="{34B83B09-B841-407D-A919-0D99A6EE993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8. Kalenderwoche ein!_x000a__________________________" sqref="Q63" xr:uid="{6A9C6AB0-E04C-4898-983B-6FAFB4AE8DC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8. Kalenderwoche ein!_x000a__________________________" sqref="R63" xr:uid="{86C7138D-4507-4481-92D9-39D35DB5942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49. Kalenderwoche ein!_x000a__________________________" sqref="M64" xr:uid="{EB33782E-53C7-4939-BDA8-1B1E9B87BF1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49. Kalenderwoche ein!_x000a__________________________" sqref="N64" xr:uid="{4A65F9FF-3E9A-4906-9412-C92A7F2F6E2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49. Kalenderwoche ein!_x000a__________________________" sqref="O64" xr:uid="{38DA2421-A59B-4A0C-B661-35A15095FDC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49. Kalenderwoche ein!_x000a__________________________" sqref="P64" xr:uid="{F041AC51-F988-4EC9-9EED-9ED3509CDFB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49. Kalenderwoche ein!_x000a__________________________" sqref="Q64" xr:uid="{735FC884-24ED-4A6F-87B3-714130892E56}">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49. Kalenderwoche ein!_x000a__________________________" sqref="R64" xr:uid="{F3BEF76D-8ADA-4D98-B9FC-D71E01098A5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50. Kalenderwoche ein!_x000a__________________________" sqref="M65" xr:uid="{11B5B487-6DD7-4BA3-A264-679BFF12B4B9}">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50. Kalenderwoche ein!_x000a__________________________" sqref="N65" xr:uid="{A195A09E-F21F-44FA-BA49-27E64A57866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50. Kalenderwoche ein!_x000a__________________________" sqref="O65" xr:uid="{D150CA5C-7506-472F-BFCF-4DF0AA6CE6A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50. Kalenderwoche ein!_x000a__________________________" sqref="P65" xr:uid="{58A0CC4A-326D-407A-A4D6-BAA7139CE017}">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50. Kalenderwoche ein!_x000a__________________________" sqref="Q65" xr:uid="{9730435D-7B4E-4AEF-A782-8DFFCD27BEEB}">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51. Kalenderwoche ein!_x000a__________________________" sqref="M66" xr:uid="{0A65EBED-438E-42A1-8C09-A19D9A0FEFF8}">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ontag, _x000a_52. Kalenderwoche ein!_x000a__________________________" sqref="M67" xr:uid="{4E7D691F-59C8-4A95-AC85-A019ECA2751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51. Kalenderwoche ein!_x000a__________________________" sqref="N66" xr:uid="{AB689698-A61A-4D5E-9780-780059D25EFC}">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51. Kalenderwoche ein!_x000a__________________________" sqref="O66" xr:uid="{35C21485-C4EA-415F-9335-02725D20C033}">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51. Kalenderwoche ein!_x000a__________________________" sqref="P66" xr:uid="{53B956C1-B405-4840-A4D2-B2DD0323DA82}">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51. Kalenderwoche ein!_x000a__________________________" sqref="Q66" xr:uid="{3175CB66-62A4-43EC-B789-D074FF676D8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50. Kalenderwoche ein!_x000a__________________________" sqref="R65" xr:uid="{0F92FF16-05C1-4FCD-BB8F-7871A2C4A81D}">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51. Kalenderwoche ein!_x000a__________________________" sqref="R66" xr:uid="{31D1D3CF-191F-472B-8EDF-BDD2AD1F8E8E}">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ienstag, _x000a_52. Kalenderwoche ein!_x000a__________________________" sqref="N67" xr:uid="{C84C7FEC-FC15-488D-A7D3-E3DDD33962D4}">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Mittwoch, _x000a_52. Kalenderwoche ein!_x000a__________________________" sqref="O67" xr:uid="{166A0CFF-1DF7-4125-8431-C28742F72960}">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Donnerstag, _x000a_52. Kalenderwoche ein!_x000a__________________________" sqref="P67" xr:uid="{E6C4F652-6393-4A8E-BEF2-9EE8AAE72F1A}">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Freitag, _x000a_52. Kalenderwoche ein!_x000a__________________________" sqref="Q67" xr:uid="{EF4267DF-127E-4177-8DE7-E4C50C7E4465}">
      <formula1>10</formula1>
      <formula2>360</formula2>
    </dataValidation>
    <dataValidation type="decimal" allowBlank="1" showInputMessage="1" showErrorMessage="1" errorTitle="Achtung, fehlerhafte Eingabe!" error="Du musst schon dein Gewicht in kg eingeben. Mindestens 10,0 kg sind erforderlich, maximal jedoch ist die Tabellenzelle bei 360,0 kg limitiert." promptTitle="Wichtige Info!" prompt="Trage hier bitte deine Gewichtswerte zum _x000a___________________________x000a_      Samstag, _x000a_52. Kalenderwoche ein!_x000a__________________________" sqref="R67" xr:uid="{5FCAF4D2-B2C8-4823-97DB-4EBA39E3AAC6}">
      <formula1>10</formula1>
      <formula2>360</formula2>
    </dataValidation>
    <dataValidation type="whole" allowBlank="1" showInputMessage="1" showErrorMessage="1" errorTitle="Achtung, Sabotage-Akt" error="Die Daten aktualisieren sich von selbst und bedürfen keiner manuellen Nachbearbeitung._x000a_Aber danke, dass du es trotzdem versucht hast!" sqref="S72:S73 K16:K67 A4:J5 S16:T68 K68:R68 Q4:R4 K15:T15" xr:uid="{11AD2457-2EA3-4509-B693-B35746781404}">
      <formula1>1.000001010101E+39</formula1>
      <formula2>1.000001010101E+39</formula2>
    </dataValidation>
    <dataValidation allowBlank="1" showInputMessage="1" showErrorMessage="1" errorTitle="Achtung, Sabotage-Akt" error="Die Daten aktualisieren sich von selbst und bedürfen keiner manuellen Nachbearbeitung._x000a_Aber danke, dass du es trotzdem versucht hast!" sqref="K4:P5 Q5:R5 K69:R70 T69:T70 S69" xr:uid="{D108413E-FC68-47BF-84FC-07C8D47CF5D0}"/>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E21:I21" xr:uid="{C057C23B-9438-4A82-800A-D270DC6B5B1A}">
      <formula1>1.00001001001E+39</formula1>
      <formula2>1.00001001001E+39</formula2>
    </dataValidation>
    <dataValidation type="whole" allowBlank="1" showInputMessage="1" showErrorMessage="1" errorTitle="Achtung, Sabotage-Akt" error="Die Daten aktualisieren sich von selbst und bedürfen keiner manuellen Nachbearbeitung._x000a_Aber danke, dass du es trotzdem versucht hast!" sqref="L13:L14 M13:R14" xr:uid="{2DE565E8-0AC3-4019-9E58-206F4D7FABAD}">
      <formula1>1.00000540654032E+39</formula1>
      <formula2>1.00000540654032E+39</formula2>
    </dataValidation>
    <dataValidation type="whole" allowBlank="1" showInputMessage="1" showErrorMessage="1" errorTitle="Achtung, Sabotage-Akt" error="Die Daten aktualisieren sich von selbst und bedürfen keiner manuellen Nachbearbeitung._x000a_Aber danke, dass du es trotzdem versucht hast!" sqref="K13:K14 S13:S14" xr:uid="{2750349E-BD84-427C-BD92-B531E789842F}">
      <formula1>6.0000506040987E+39</formula1>
      <formula2>6.0000506040987E+39</formula2>
    </dataValidation>
    <dataValidation type="whole" allowBlank="1" showInputMessage="1" showErrorMessage="1" errorTitle="Achtung, Sabotage-Akt" error="Die Daten aktualisieren sich von selbst und bedürfen keiner manuellen Nachbearbeitung._x000a_Aber danke, dass du es trotzdem versucht hast!" sqref="T13:T14" xr:uid="{592C2CC9-1C38-4A39-8633-383FD80C4F25}">
      <formula1>1.00020321035406E+39</formula1>
      <formula2>1.00020321035406E+39</formula2>
    </dataValidation>
  </dataValidations>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0" operator="equal" id="{C0A1F35C-2ACD-49CB-B863-2A30C8E51484}">
            <xm:f>Programmdaten!$U$9</xm:f>
            <x14:dxf>
              <fill>
                <gradientFill type="path" left="0.5" right="0.5" top="0.5" bottom="0.5">
                  <stop position="0">
                    <color theme="4" tint="0.59999389629810485"/>
                  </stop>
                  <stop position="1">
                    <color theme="4"/>
                  </stop>
                </gradientFill>
              </fill>
            </x14:dxf>
          </x14:cfRule>
          <x14:cfRule type="cellIs" priority="11" operator="lessThan" id="{9624756B-D729-40C6-AD5F-B687137C1AFD}">
            <xm:f>Programmdaten!$U$9</xm:f>
            <x14:dxf>
              <font>
                <color rgb="FF006100"/>
              </font>
              <fill>
                <patternFill>
                  <bgColor rgb="FFC6EFCE"/>
                </patternFill>
              </fill>
            </x14:dxf>
          </x14:cfRule>
          <x14:cfRule type="cellIs" priority="12" operator="greaterThan" id="{0B47EF10-0D3F-446C-B937-C4EC5A8E39E3}">
            <xm:f>Programmdaten!$U$9</xm:f>
            <x14:dxf>
              <font>
                <color rgb="FF006100"/>
              </font>
              <fill>
                <patternFill>
                  <bgColor rgb="FFC6EFCE"/>
                </patternFill>
              </fill>
            </x14:dxf>
          </x14:cfRule>
          <xm:sqref>K16:K67</xm:sqref>
        </x14:conditionalFormatting>
        <x14:conditionalFormatting xmlns:xm="http://schemas.microsoft.com/office/excel/2006/main">
          <x14:cfRule type="cellIs" priority="1" operator="equal" id="{90DEABE3-B610-439E-919C-33C80B2ADB4A}">
            <xm:f>Programmdaten!$U$9</xm:f>
            <x14:dxf>
              <fill>
                <gradientFill type="path" left="0.5" right="0.5" top="0.5" bottom="0.5">
                  <stop position="0">
                    <color theme="4" tint="0.59999389629810485"/>
                  </stop>
                  <stop position="1">
                    <color theme="4"/>
                  </stop>
                </gradientFill>
              </fill>
            </x14:dxf>
          </x14:cfRule>
          <x14:cfRule type="cellIs" priority="2" operator="lessThan" id="{7DC6296E-B92F-48A9-8CE7-3FE939F750D3}">
            <xm:f>Programmdaten!$U$9</xm:f>
            <x14:dxf>
              <font>
                <color rgb="FF006100"/>
              </font>
              <fill>
                <patternFill>
                  <bgColor rgb="FFC6EFCE"/>
                </patternFill>
              </fill>
            </x14:dxf>
          </x14:cfRule>
          <x14:cfRule type="cellIs" priority="3" operator="greaterThan" id="{763355BB-9A6F-4BD9-A8A7-049248717DB4}">
            <xm:f>Programmdaten!$U$9</xm:f>
            <x14:dxf>
              <font>
                <color rgb="FF006100"/>
              </font>
              <fill>
                <patternFill>
                  <bgColor rgb="FFC6EFCE"/>
                </patternFill>
              </fill>
            </x14:dxf>
          </x14:cfRule>
          <xm:sqref>T16:T67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83BE3-0493-4BA1-8E68-A0CB6AFF1794}">
  <dimension ref="A1:R108"/>
  <sheetViews>
    <sheetView zoomScaleNormal="100" workbookViewId="0">
      <selection activeCell="K7" sqref="K7:N7"/>
    </sheetView>
  </sheetViews>
  <sheetFormatPr baseColWidth="10" defaultRowHeight="15" x14ac:dyDescent="0.25"/>
  <cols>
    <col min="1" max="10" width="2.85546875" customWidth="1"/>
    <col min="11" max="11" width="11.42578125" customWidth="1"/>
    <col min="13" max="13" width="12.7109375" customWidth="1"/>
    <col min="14" max="14" width="11.85546875" customWidth="1"/>
    <col min="15" max="15" width="12.42578125" customWidth="1"/>
    <col min="16" max="16" width="10.28515625" customWidth="1"/>
    <col min="19" max="19" width="1.42578125" customWidth="1"/>
  </cols>
  <sheetData>
    <row r="1" spans="1:18" ht="15" customHeight="1" x14ac:dyDescent="0.25">
      <c r="A1" s="85"/>
      <c r="B1" s="85"/>
      <c r="C1" s="85"/>
      <c r="D1" s="85"/>
      <c r="E1" s="85"/>
      <c r="F1" s="85"/>
      <c r="G1" s="85"/>
      <c r="H1" s="85"/>
      <c r="I1" s="85"/>
      <c r="J1" s="85"/>
      <c r="K1" s="83" t="str">
        <f>IF(Start!K7="English","Overview",IF(Start!K7="Español","Visión general","Übersicht"))</f>
        <v>Übersicht</v>
      </c>
      <c r="L1" s="83"/>
      <c r="M1" s="83"/>
      <c r="N1" s="83"/>
      <c r="O1" s="83"/>
      <c r="P1" s="83"/>
      <c r="Q1" s="83"/>
    </row>
    <row r="2" spans="1:18" ht="15" customHeight="1" x14ac:dyDescent="0.25">
      <c r="A2" s="85"/>
      <c r="B2" s="85"/>
      <c r="C2" s="85"/>
      <c r="D2" s="85"/>
      <c r="E2" s="85"/>
      <c r="F2" s="85"/>
      <c r="G2" s="85"/>
      <c r="H2" s="85"/>
      <c r="I2" s="85"/>
      <c r="J2" s="85"/>
      <c r="K2" s="83"/>
      <c r="L2" s="83"/>
      <c r="M2" s="83"/>
      <c r="N2" s="83"/>
      <c r="O2" s="83"/>
      <c r="P2" s="83"/>
      <c r="Q2" s="83"/>
    </row>
    <row r="3" spans="1:18" x14ac:dyDescent="0.25">
      <c r="A3" s="85"/>
      <c r="B3" s="85"/>
      <c r="C3" s="85"/>
      <c r="D3" s="85"/>
      <c r="E3" s="85"/>
      <c r="F3" s="85"/>
      <c r="G3" s="85"/>
      <c r="H3" s="85"/>
      <c r="I3" s="85"/>
      <c r="J3" s="85"/>
      <c r="K3" s="83"/>
      <c r="L3" s="83"/>
      <c r="M3" s="83"/>
      <c r="N3" s="83"/>
      <c r="O3" s="83"/>
      <c r="P3" s="83"/>
      <c r="Q3" s="83"/>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7" spans="1:18" x14ac:dyDescent="0.25">
      <c r="K7" s="211" t="str">
        <f>IF(Start!K7="English","Your starting weight",IF(Start!K7="Español","Tu peso inicial","Dein Startgewicht"))&amp;": "&amp;'Persönliche Daten'!M20&amp;" kg"</f>
        <v>Dein Startgewicht:  kg</v>
      </c>
      <c r="L7" s="211"/>
      <c r="M7" s="211"/>
      <c r="N7" s="211"/>
    </row>
    <row r="8" spans="1:18" x14ac:dyDescent="0.25">
      <c r="B8" s="79" t="str">
        <f>IF(Start!K7="English","Start",IF(Start!K7="Español","Inicio","Start"))</f>
        <v>Start</v>
      </c>
      <c r="C8" s="79"/>
      <c r="D8" s="79"/>
      <c r="E8" s="79"/>
      <c r="F8" s="79"/>
      <c r="G8" s="79"/>
      <c r="H8" s="79"/>
      <c r="K8" s="212" t="str">
        <f>IF(Start!K7="English","Your target weight",IF(Start!K7="Español","Tu peso objetivo","Dein Ziel-Gewicht"))&amp;": "&amp;'Gewichts-Ziel'!N31&amp;" kg"</f>
        <v>Dein Ziel-Gewicht: 0 kg</v>
      </c>
      <c r="L8" s="212"/>
      <c r="M8" s="212"/>
      <c r="N8" s="212"/>
    </row>
    <row r="9" spans="1:18" x14ac:dyDescent="0.25">
      <c r="B9" s="79"/>
      <c r="C9" s="79"/>
      <c r="D9" s="79"/>
      <c r="E9" s="79"/>
      <c r="F9" s="79"/>
      <c r="G9" s="79"/>
      <c r="H9" s="79"/>
      <c r="K9" s="212" t="str">
        <f>IF(Start!K7="English","Period: "&amp;'Gewichts-Ziel'!M39,IF(Start!K7="Español","Periodo: "&amp;'Gewichts-Ziel'!M39,"Zeitraum: "&amp;'Gewichts-Ziel'!M39))</f>
        <v>Zeitraum: 2 Tage</v>
      </c>
      <c r="L9" s="212"/>
      <c r="M9" s="212"/>
      <c r="N9" s="212"/>
    </row>
    <row r="10" spans="1:18" x14ac:dyDescent="0.25">
      <c r="K10" s="212" t="str">
        <f ca="1">IF(Start!K7="English","Your daily goal for this week: ",IF(Start!K7="Español","Tu objetivo diario para esta semana: ","Dein tägliches Ziel für diese Woche: "))&amp;Werte!Q8&amp;" g"</f>
        <v>Dein tägliches Ziel für diese Woche: 0 g</v>
      </c>
      <c r="L10" s="212"/>
      <c r="M10" s="212"/>
      <c r="N10" s="212"/>
    </row>
    <row r="11" spans="1:18" x14ac:dyDescent="0.25">
      <c r="A11" s="79" t="str">
        <f>IF(Start!K7="English","Personal data",IF(Start!K7="Español","Datos personales","Persönliche Daten"))</f>
        <v>Persönliche Daten</v>
      </c>
      <c r="B11" s="79"/>
      <c r="C11" s="79"/>
      <c r="D11" s="79"/>
      <c r="E11" s="79"/>
      <c r="F11" s="79"/>
      <c r="G11" s="79"/>
      <c r="H11" s="79"/>
      <c r="I11" s="79"/>
    </row>
    <row r="12" spans="1:18" ht="15" customHeight="1" x14ac:dyDescent="0.25">
      <c r="A12" s="79"/>
      <c r="B12" s="79"/>
      <c r="C12" s="79"/>
      <c r="D12" s="79"/>
      <c r="E12" s="79"/>
      <c r="F12" s="79"/>
      <c r="G12" s="79"/>
      <c r="H12" s="79"/>
      <c r="I12" s="79"/>
      <c r="Q12" s="51"/>
    </row>
    <row r="13" spans="1:18" ht="15" customHeight="1" x14ac:dyDescent="0.25">
      <c r="K13" s="2"/>
      <c r="L13" t="s">
        <v>0</v>
      </c>
      <c r="Q13" s="51"/>
    </row>
    <row r="14" spans="1:18" x14ac:dyDescent="0.25">
      <c r="A14" s="79" t="str">
        <f>IF(Start!K7="English","Weight table",IF(Start!K7="Español","Tabla de pesos","Gewichtstabelle"))</f>
        <v>Gewichtstabelle</v>
      </c>
      <c r="B14" s="79"/>
      <c r="C14" s="79"/>
      <c r="D14" s="79"/>
      <c r="E14" s="79"/>
      <c r="F14" s="79"/>
      <c r="G14" s="79"/>
      <c r="H14" s="79"/>
      <c r="I14" s="79"/>
      <c r="L14" s="1"/>
    </row>
    <row r="15" spans="1:18" ht="15.75" thickBot="1" x14ac:dyDescent="0.3">
      <c r="A15" s="79"/>
      <c r="B15" s="79"/>
      <c r="C15" s="79"/>
      <c r="D15" s="79"/>
      <c r="E15" s="79"/>
      <c r="F15" s="79"/>
      <c r="G15" s="79"/>
      <c r="H15" s="79"/>
      <c r="I15" s="79"/>
      <c r="K15" s="52"/>
      <c r="L15" s="213" t="str">
        <f>IF(Start!K7="English","Target weight",IF(Start!K7="Español","Peso objetivo","Soll-Gewicht"))</f>
        <v>Soll-Gewicht</v>
      </c>
      <c r="M15" s="215"/>
      <c r="N15" s="213" t="str">
        <f>IF(Start!K7="English","Actual weight",IF(Start!K7="Español","Peso real","Aktuelles Gewicht"))</f>
        <v>Aktuelles Gewicht</v>
      </c>
      <c r="O15" s="214"/>
      <c r="P15" s="54" t="str">
        <f>IF(Start!K7="English","Difference",IF(Start!K7="Español","Diferencia","Differenz"))</f>
        <v>Differenz</v>
      </c>
      <c r="Q15" s="53"/>
      <c r="R15" s="54"/>
    </row>
    <row r="16" spans="1:18" ht="15.75" thickTop="1" x14ac:dyDescent="0.25">
      <c r="K16" s="199" t="str">
        <f>IF(Start!K7="English","Sunday",IF(Start!K7="Español","Domingo","Sonntag"))</f>
        <v>Sonntag</v>
      </c>
      <c r="L16" s="221">
        <f ca="1">ROUNDDOWN(SUMIF(Werte!K13:K64,Programmdaten!U37,Werte!L13:L64),1)</f>
        <v>0</v>
      </c>
      <c r="M16" s="222"/>
      <c r="N16" s="217">
        <f ca="1">ROUNDDOWN(SUMIF('Gewichts-Tabelle'!K16:K67,WEEKNUM(NOW()),'Gewichts-Tabelle'!L16:L67),1)</f>
        <v>0</v>
      </c>
      <c r="O16" s="228"/>
      <c r="P16" s="217">
        <f ca="1">N16-L16</f>
        <v>0</v>
      </c>
      <c r="Q16" s="227" t="str">
        <f ca="1">IF(P16=0,Programmdaten!AA13,IF(P16&gt;0,IF(P16&lt;=0.2,Programmdaten!AA14,IF(P16&lt;=0.4,Programmdaten!AA15,IF(P16&lt;=1,Programmdaten!AA16,Programmdaten!AA17))),IF(P16&gt;=-0.2,Programmdaten!AA12,Programmdaten!AA11)))</f>
        <v>Perfekt!</v>
      </c>
      <c r="R16" s="227"/>
    </row>
    <row r="17" spans="1:18" x14ac:dyDescent="0.25">
      <c r="A17" s="79" t="str">
        <f>IF(Start!K7="English","Weight target",IF(Start!K7="Español","Objetivo de peso","Gewichts-Ziel"))</f>
        <v>Gewichts-Ziel</v>
      </c>
      <c r="B17" s="79"/>
      <c r="C17" s="79"/>
      <c r="D17" s="79"/>
      <c r="E17" s="79"/>
      <c r="F17" s="79"/>
      <c r="G17" s="79"/>
      <c r="H17" s="79"/>
      <c r="I17" s="79"/>
      <c r="K17" s="209"/>
      <c r="L17" s="223"/>
      <c r="M17" s="224"/>
      <c r="N17" s="218"/>
      <c r="O17" s="229"/>
      <c r="P17" s="218"/>
      <c r="Q17" s="220"/>
      <c r="R17" s="220"/>
    </row>
    <row r="18" spans="1:18" x14ac:dyDescent="0.25">
      <c r="A18" s="79"/>
      <c r="B18" s="79"/>
      <c r="C18" s="79"/>
      <c r="D18" s="79"/>
      <c r="E18" s="79"/>
      <c r="F18" s="79"/>
      <c r="G18" s="79"/>
      <c r="H18" s="79"/>
      <c r="I18" s="79"/>
      <c r="K18" s="216" t="str">
        <f>IF(Start!K7="English","Monday",IF(Start!K7="Español","Lunes","Montag"))</f>
        <v>Montag</v>
      </c>
      <c r="L18" s="225">
        <f ca="1">ROUNDDOWN(SUMIF(Werte!K13:K64,Programmdaten!U37,Werte!M13:M64),1)</f>
        <v>0</v>
      </c>
      <c r="M18" s="226"/>
      <c r="N18" s="230">
        <f ca="1">SUMIF('Gewichts-Tabelle'!K16:K67,WEEKNUM(NOW()),'Gewichts-Tabelle'!M16:M67)</f>
        <v>0</v>
      </c>
      <c r="O18" s="231"/>
      <c r="P18" s="217">
        <f ca="1">N18-L18</f>
        <v>0</v>
      </c>
      <c r="Q18" s="219" t="str">
        <f ca="1">IF(P18=0,Programmdaten!AA13,IF(P18&gt;0,IF(P18&lt;=0.2,Programmdaten!AA14,IF(P18&lt;=0.4,Programmdaten!AA15,IF(P18&lt;=1,Programmdaten!AA16,Programmdaten!AA17))),IF(P18&gt;=-0.2,Programmdaten!AA12,Programmdaten!AA11)))</f>
        <v>Perfekt!</v>
      </c>
      <c r="R18" s="219"/>
    </row>
    <row r="19" spans="1:18" x14ac:dyDescent="0.25">
      <c r="K19" s="209"/>
      <c r="L19" s="223"/>
      <c r="M19" s="224"/>
      <c r="N19" s="218"/>
      <c r="O19" s="229"/>
      <c r="P19" s="218"/>
      <c r="Q19" s="220"/>
      <c r="R19" s="220"/>
    </row>
    <row r="20" spans="1:18" x14ac:dyDescent="0.25">
      <c r="A20" s="79" t="str">
        <f>IF(Start!K7="English","Fitness",IF(Start!K7="Español","Fitness","Fitness"))</f>
        <v>Fitness</v>
      </c>
      <c r="B20" s="84"/>
      <c r="C20" s="84"/>
      <c r="D20" s="84"/>
      <c r="E20" s="84"/>
      <c r="F20" s="84"/>
      <c r="G20" s="84"/>
      <c r="H20" s="84"/>
      <c r="I20" s="84"/>
      <c r="K20" s="216" t="str">
        <f>IF(Start!K7="English","Tuesday",IF(Start!K7="Español","Martes","Dienstag"))</f>
        <v>Dienstag</v>
      </c>
      <c r="L20" s="225">
        <f ca="1">ROUNDDOWN(SUMIF(Werte!K13:K64,Programmdaten!U37,Werte!N13:N64),1)</f>
        <v>0</v>
      </c>
      <c r="M20" s="226"/>
      <c r="N20" s="230">
        <f ca="1">SUMIF('Gewichts-Tabelle'!K16:K67,WEEKNUM(NOW()),'Gewichts-Tabelle'!N16:N67)</f>
        <v>0</v>
      </c>
      <c r="O20" s="231"/>
      <c r="P20" s="217">
        <f ca="1">N20-L20</f>
        <v>0</v>
      </c>
      <c r="Q20" s="219" t="str">
        <f ca="1">IF(P20=0,Programmdaten!AA13,IF(P20&gt;0,IF(P20&lt;=0.2,Programmdaten!AA14,IF(P20&lt;=0.4,Programmdaten!AA15,IF(P20&lt;=1,Programmdaten!AA16,Programmdaten!AA17))),IF(P20&gt;=-0.2,Programmdaten!AA12,Programmdaten!AA11)))</f>
        <v>Perfekt!</v>
      </c>
      <c r="R20" s="219"/>
    </row>
    <row r="21" spans="1:18" x14ac:dyDescent="0.25">
      <c r="A21" s="84"/>
      <c r="B21" s="84"/>
      <c r="C21" s="84"/>
      <c r="D21" s="84"/>
      <c r="E21" s="84"/>
      <c r="F21" s="84"/>
      <c r="G21" s="84"/>
      <c r="H21" s="84"/>
      <c r="I21" s="84"/>
      <c r="K21" s="209"/>
      <c r="L21" s="223"/>
      <c r="M21" s="224"/>
      <c r="N21" s="218"/>
      <c r="O21" s="229"/>
      <c r="P21" s="218"/>
      <c r="Q21" s="220"/>
      <c r="R21" s="220"/>
    </row>
    <row r="22" spans="1:18" x14ac:dyDescent="0.25">
      <c r="K22" s="216" t="str">
        <f>IF(Start!K7="English","Wednesday",IF(Start!K7="Español","Miércoles","Mittwoch"))</f>
        <v>Mittwoch</v>
      </c>
      <c r="L22" s="225">
        <f ca="1">ROUNDDOWN(SUMIF(Werte!K13:K64,Programmdaten!U37,Werte!O13:O64),1)</f>
        <v>0</v>
      </c>
      <c r="M22" s="226"/>
      <c r="N22" s="230">
        <f ca="1">SUMIF('Gewichts-Tabelle'!K16:K67,WEEKNUM(NOW()),'Gewichts-Tabelle'!O16:O67)</f>
        <v>0</v>
      </c>
      <c r="O22" s="231"/>
      <c r="P22" s="217">
        <f ca="1">N22-L22</f>
        <v>0</v>
      </c>
      <c r="Q22" s="219" t="str">
        <f ca="1">IF(P22=0,Programmdaten!AA13,IF(P22&gt;0,IF(P22&lt;=0.2,Programmdaten!AA14,IF(P22&lt;=0.4,Programmdaten!AA15,IF(P22&lt;=1,Programmdaten!AA16,Programmdaten!AA17))),IF(P22&gt;=-0.2,Programmdaten!AA12,Programmdaten!AA11)))</f>
        <v>Perfekt!</v>
      </c>
      <c r="R22" s="219"/>
    </row>
    <row r="23" spans="1:18" ht="15" customHeight="1" x14ac:dyDescent="0.25">
      <c r="A23" s="79" t="str">
        <f>IF(Start!K7="English","Overview",IF(Start!K7="Español","Visión general","Übersicht"))</f>
        <v>Übersicht</v>
      </c>
      <c r="B23" s="84"/>
      <c r="C23" s="84"/>
      <c r="D23" s="84"/>
      <c r="E23" s="84"/>
      <c r="F23" s="84"/>
      <c r="G23" s="84"/>
      <c r="H23" s="84"/>
      <c r="I23" s="84"/>
      <c r="J23" s="9"/>
      <c r="K23" s="209"/>
      <c r="L23" s="223"/>
      <c r="M23" s="224"/>
      <c r="N23" s="218"/>
      <c r="O23" s="229"/>
      <c r="P23" s="218"/>
      <c r="Q23" s="220"/>
      <c r="R23" s="220"/>
    </row>
    <row r="24" spans="1:18" ht="15" customHeight="1" x14ac:dyDescent="0.25">
      <c r="A24" s="84"/>
      <c r="B24" s="84"/>
      <c r="C24" s="84"/>
      <c r="D24" s="84"/>
      <c r="E24" s="84"/>
      <c r="F24" s="84"/>
      <c r="G24" s="84"/>
      <c r="H24" s="84"/>
      <c r="I24" s="84"/>
      <c r="J24" s="29"/>
      <c r="K24" s="216" t="str">
        <f>IF(Start!K7="English","Thursday",IF(Start!K7="Español","Jueves","Donnerstag"))</f>
        <v>Donnerstag</v>
      </c>
      <c r="L24" s="225">
        <f ca="1">ROUNDDOWN(SUMIF(Werte!K13:K64,Programmdaten!U37,Werte!P13:P64),1)</f>
        <v>0</v>
      </c>
      <c r="M24" s="226"/>
      <c r="N24" s="230">
        <f ca="1">SUMIF('Gewichts-Tabelle'!K16:K67,WEEKNUM(NOW()),'Gewichts-Tabelle'!P16:P67)</f>
        <v>0</v>
      </c>
      <c r="O24" s="231"/>
      <c r="P24" s="217">
        <f ca="1">N24-L24</f>
        <v>0</v>
      </c>
      <c r="Q24" s="219" t="str">
        <f ca="1">IF(P24=0,Programmdaten!AA13,IF(P24&gt;0,IF(P24&lt;=0.2,Programmdaten!AA14,IF(P24&lt;=0.4,Programmdaten!AA15,IF(P24&lt;=1,Programmdaten!AA16,Programmdaten!AA17))),IF(P24&gt;=-0.2,Programmdaten!AA12,Programmdaten!AA11)))</f>
        <v>Perfekt!</v>
      </c>
      <c r="R24" s="219"/>
    </row>
    <row r="25" spans="1:18" x14ac:dyDescent="0.25">
      <c r="E25" s="29"/>
      <c r="F25" s="29"/>
      <c r="G25" s="29"/>
      <c r="H25" s="29"/>
      <c r="I25" s="29"/>
      <c r="J25" s="29"/>
      <c r="K25" s="209"/>
      <c r="L25" s="223"/>
      <c r="M25" s="224"/>
      <c r="N25" s="218"/>
      <c r="O25" s="229"/>
      <c r="P25" s="218"/>
      <c r="Q25" s="220"/>
      <c r="R25" s="220"/>
    </row>
    <row r="26" spans="1:18" x14ac:dyDescent="0.25">
      <c r="J26" s="29"/>
      <c r="K26" s="216" t="str">
        <f>IF(Start!K7="English","Friday",IF(Start!K7="Español","Viernes","Freitag"))</f>
        <v>Freitag</v>
      </c>
      <c r="L26" s="225">
        <f ca="1">ROUNDDOWN(SUMIF(Werte!K13:K64,Programmdaten!U37,Werte!Q13:Q64),1)</f>
        <v>0</v>
      </c>
      <c r="M26" s="226"/>
      <c r="N26" s="230">
        <f ca="1">SUMIF('Gewichts-Tabelle'!K16:K67,WEEKNUM(NOW()),'Gewichts-Tabelle'!Q16:Q67)</f>
        <v>0</v>
      </c>
      <c r="O26" s="231"/>
      <c r="P26" s="217">
        <f ca="1">N26-L26</f>
        <v>0</v>
      </c>
      <c r="Q26" s="219" t="str">
        <f ca="1">IF(P26=0,Programmdaten!AA13,IF(P26&gt;0,IF(P26&lt;=0.2,Programmdaten!AA14,IF(P26&lt;=0.4,Programmdaten!AA15,IF(P26&lt;=1,Programmdaten!AA16,Programmdaten!AA17))),IF(P26&gt;=-0.2,Programmdaten!AA12,Programmdaten!AA11)))</f>
        <v>Perfekt!</v>
      </c>
      <c r="R26" s="219"/>
    </row>
    <row r="27" spans="1:18" x14ac:dyDescent="0.25">
      <c r="J27" s="29"/>
      <c r="K27" s="209"/>
      <c r="L27" s="223"/>
      <c r="M27" s="224"/>
      <c r="N27" s="218"/>
      <c r="O27" s="229"/>
      <c r="P27" s="218"/>
      <c r="Q27" s="220"/>
      <c r="R27" s="220"/>
    </row>
    <row r="28" spans="1:18" x14ac:dyDescent="0.25">
      <c r="E28" s="29"/>
      <c r="F28" s="29"/>
      <c r="G28" s="29"/>
      <c r="H28" s="29"/>
      <c r="I28" s="29"/>
      <c r="J28" s="29"/>
      <c r="K28" s="199" t="str">
        <f>IF(Start!K7="English","Saturday",IF(Start!K7="Español","Sábado","Samstag"))</f>
        <v>Samstag</v>
      </c>
      <c r="L28" s="225">
        <f ca="1">ROUNDDOWN(SUMIF(Werte!K13:K64,Programmdaten!U37,Werte!R13:R64),1)</f>
        <v>0</v>
      </c>
      <c r="M28" s="226"/>
      <c r="N28" s="230">
        <f ca="1">SUMIF('Gewichts-Tabelle'!K16:K67,WEEKNUM(NOW()),'Gewichts-Tabelle'!R16:R67)</f>
        <v>0</v>
      </c>
      <c r="O28" s="231"/>
      <c r="P28" s="217">
        <f ca="1">N28-L28</f>
        <v>0</v>
      </c>
      <c r="Q28" s="219" t="str">
        <f ca="1">IF(P28=0,Programmdaten!AA13,IF(P28&gt;0,IF(P28&lt;=0.2,Programmdaten!AA14,IF(P28&lt;=0.4,Programmdaten!AA15,IF(P28&lt;=1,Programmdaten!AA16,Programmdaten!AA17))),IF(P28&gt;=-0.2,Programmdaten!AA12,Programmdaten!AA11)))</f>
        <v>Perfekt!</v>
      </c>
      <c r="R28" s="219"/>
    </row>
    <row r="29" spans="1:18" x14ac:dyDescent="0.25">
      <c r="A29" s="85"/>
      <c r="B29" s="85"/>
      <c r="C29" s="85"/>
      <c r="D29" s="85"/>
      <c r="E29" s="85"/>
      <c r="F29" s="85"/>
      <c r="G29" s="85"/>
      <c r="H29" s="85"/>
      <c r="I29" s="85"/>
      <c r="J29" s="29"/>
      <c r="K29" s="209"/>
      <c r="L29" s="223"/>
      <c r="M29" s="224"/>
      <c r="N29" s="218"/>
      <c r="O29" s="229"/>
      <c r="P29" s="218"/>
      <c r="Q29" s="220"/>
      <c r="R29" s="220"/>
    </row>
    <row r="30" spans="1:18" x14ac:dyDescent="0.25">
      <c r="A30" s="85"/>
      <c r="B30" s="85"/>
      <c r="C30" s="85"/>
      <c r="D30" s="85"/>
      <c r="E30" s="85"/>
      <c r="F30" s="85"/>
      <c r="G30" s="85"/>
      <c r="H30" s="85"/>
      <c r="I30" s="85"/>
      <c r="J30" s="29"/>
      <c r="K30" s="29"/>
      <c r="L30" s="29"/>
      <c r="M30" s="29"/>
      <c r="N30" s="29"/>
      <c r="O30" s="29"/>
      <c r="P30" s="29"/>
      <c r="Q30" s="29"/>
    </row>
    <row r="31" spans="1:18" x14ac:dyDescent="0.25">
      <c r="E31" s="29"/>
      <c r="F31" s="29"/>
      <c r="G31" s="29"/>
      <c r="H31" s="29"/>
      <c r="I31" s="29"/>
      <c r="J31" s="29"/>
      <c r="K31" s="29"/>
      <c r="L31" s="29"/>
      <c r="M31" s="29"/>
      <c r="N31" s="29"/>
      <c r="O31" s="29"/>
      <c r="P31" s="29"/>
      <c r="Q31" s="29"/>
    </row>
    <row r="32" spans="1:18" x14ac:dyDescent="0.25">
      <c r="A32" s="85"/>
      <c r="B32" s="85"/>
      <c r="C32" s="85"/>
      <c r="D32" s="85"/>
      <c r="E32" s="85"/>
      <c r="F32" s="85"/>
      <c r="G32" s="85"/>
      <c r="H32" s="85"/>
      <c r="I32" s="85"/>
      <c r="J32" s="29"/>
      <c r="K32" s="29"/>
      <c r="L32" s="29"/>
      <c r="M32" s="29"/>
      <c r="N32" s="29"/>
      <c r="O32" s="29"/>
      <c r="P32" s="29"/>
      <c r="Q32" s="29"/>
    </row>
    <row r="33" spans="1:17" x14ac:dyDescent="0.25">
      <c r="A33" s="85"/>
      <c r="B33" s="85"/>
      <c r="C33" s="85"/>
      <c r="D33" s="85"/>
      <c r="E33" s="85"/>
      <c r="F33" s="85"/>
      <c r="G33" s="85"/>
      <c r="H33" s="85"/>
      <c r="I33" s="85"/>
      <c r="J33" s="29"/>
      <c r="K33" s="29"/>
      <c r="L33" s="29"/>
      <c r="M33" s="29"/>
      <c r="N33" s="29"/>
      <c r="O33" s="29"/>
      <c r="P33" s="29"/>
      <c r="Q33" s="29"/>
    </row>
    <row r="34" spans="1:17" ht="17.25" x14ac:dyDescent="0.25">
      <c r="E34" s="29"/>
      <c r="F34" s="29"/>
      <c r="G34" s="29"/>
      <c r="H34" s="29"/>
      <c r="I34" s="29"/>
      <c r="J34" s="29"/>
      <c r="M34" s="116" t="str">
        <f>IF(Start!K7="English","Annual distribution",IF(Start!K7="Español","Distribución anual","Jahres-Verteilung"))</f>
        <v>Jahres-Verteilung</v>
      </c>
      <c r="N34" s="116"/>
    </row>
    <row r="35" spans="1:17" x14ac:dyDescent="0.25">
      <c r="A35" s="85"/>
      <c r="B35" s="85"/>
      <c r="C35" s="85"/>
      <c r="D35" s="85"/>
      <c r="E35" s="85"/>
      <c r="F35" s="85"/>
      <c r="G35" s="85"/>
      <c r="H35" s="85"/>
      <c r="I35" s="85"/>
      <c r="J35" s="29"/>
    </row>
    <row r="36" spans="1:17" x14ac:dyDescent="0.25">
      <c r="A36" s="85"/>
      <c r="B36" s="85"/>
      <c r="C36" s="85"/>
      <c r="D36" s="85"/>
      <c r="E36" s="85"/>
      <c r="F36" s="85"/>
      <c r="G36" s="85"/>
      <c r="H36" s="85"/>
      <c r="I36" s="85"/>
      <c r="J36" s="29"/>
    </row>
    <row r="37" spans="1:17" x14ac:dyDescent="0.25">
      <c r="E37" s="29"/>
      <c r="F37" s="29"/>
      <c r="G37" s="29"/>
      <c r="H37" s="29"/>
      <c r="I37" s="29"/>
      <c r="J37" s="29"/>
    </row>
    <row r="38" spans="1:17" x14ac:dyDescent="0.25">
      <c r="A38" s="85"/>
      <c r="B38" s="85"/>
      <c r="C38" s="85"/>
      <c r="D38" s="85"/>
      <c r="E38" s="85"/>
      <c r="F38" s="85"/>
      <c r="G38" s="85"/>
      <c r="H38" s="85"/>
      <c r="I38" s="85"/>
      <c r="J38" s="29"/>
    </row>
    <row r="39" spans="1:17" x14ac:dyDescent="0.25">
      <c r="A39" s="85"/>
      <c r="B39" s="85"/>
      <c r="C39" s="85"/>
      <c r="D39" s="85"/>
      <c r="E39" s="85"/>
      <c r="F39" s="85"/>
      <c r="G39" s="85"/>
      <c r="H39" s="85"/>
      <c r="I39" s="85"/>
      <c r="J39" s="29"/>
    </row>
    <row r="40" spans="1:17" x14ac:dyDescent="0.25">
      <c r="E40" s="29"/>
      <c r="F40" s="29"/>
      <c r="G40" s="29"/>
      <c r="H40" s="29"/>
      <c r="I40" s="29"/>
      <c r="J40" s="29"/>
    </row>
    <row r="41" spans="1:17" x14ac:dyDescent="0.25">
      <c r="E41" s="29"/>
      <c r="F41" s="29"/>
      <c r="G41" s="29"/>
      <c r="H41" s="29"/>
      <c r="I41" s="29"/>
      <c r="J41" s="29"/>
    </row>
    <row r="42" spans="1:17" x14ac:dyDescent="0.25">
      <c r="E42" s="10"/>
      <c r="F42" s="10"/>
      <c r="G42" s="10"/>
      <c r="H42" s="10"/>
      <c r="I42" s="10"/>
      <c r="J42" s="10"/>
    </row>
    <row r="43" spans="1:17" x14ac:dyDescent="0.25">
      <c r="E43" s="10"/>
      <c r="F43" s="10"/>
      <c r="G43" s="10"/>
      <c r="H43" s="10"/>
      <c r="I43" s="10"/>
      <c r="J43" s="10"/>
    </row>
    <row r="57" spans="2:12" x14ac:dyDescent="0.25">
      <c r="K57" s="171" t="str">
        <f>IF(Start!K7="English","This week you have already completed "&amp;Spaziergang!R20&amp;" km of walking. You were on the road for "&amp;Spaziergang!R20/4&amp;IF(Spaziergang!R20&lt;=4," hour. "," hours! "),IF(Start!K7="Español","Esta semana ya has corrido "&amp;Spaziergang!R20&amp;" km. ¡Llevas "&amp;Spaziergang!R20/4&amp;IF(Spaziergang!R20&lt;=4," hora"," horas")&amp;" corriendo!","Diese Woche hast du schon "&amp;Spaziergang!R20&amp;" km Laufleistung absolviert. Du warst somit "&amp;Spaziergang!R20/4&amp;IF(Spaziergang!R20&lt;=4," Stunde "," Stunden ")&amp;"unterwegs!"))</f>
        <v>Diese Woche hast du schon 0 km Laufleistung absolviert. Du warst somit 0 Stunde unterwegs!</v>
      </c>
      <c r="L57" s="173"/>
    </row>
    <row r="58" spans="2:12" ht="15" customHeight="1" x14ac:dyDescent="0.25">
      <c r="K58" s="207"/>
      <c r="L58" s="208"/>
    </row>
    <row r="59" spans="2:12" x14ac:dyDescent="0.25">
      <c r="K59" s="207"/>
      <c r="L59" s="208"/>
    </row>
    <row r="60" spans="2:12" x14ac:dyDescent="0.25">
      <c r="K60" s="207"/>
      <c r="L60" s="208"/>
    </row>
    <row r="61" spans="2:12" ht="15" customHeight="1" x14ac:dyDescent="0.25">
      <c r="B61" s="157" t="str">
        <f>IF(Start!K7="English","Take the dog for a walk",IF(Start!K7="Español","Pasear al perro","Einen Spaziergang mit dem Hund machen"))</f>
        <v>Einen Spaziergang mit dem Hund machen</v>
      </c>
      <c r="C61" s="157"/>
      <c r="D61" s="157"/>
      <c r="E61" s="157"/>
      <c r="F61" s="157"/>
      <c r="G61" s="157"/>
      <c r="H61" s="157"/>
      <c r="I61" s="157"/>
      <c r="K61" s="207"/>
      <c r="L61" s="208"/>
    </row>
    <row r="62" spans="2:12" x14ac:dyDescent="0.25">
      <c r="B62" s="157"/>
      <c r="C62" s="157"/>
      <c r="D62" s="157"/>
      <c r="E62" s="157"/>
      <c r="F62" s="157"/>
      <c r="G62" s="157"/>
      <c r="H62" s="157"/>
      <c r="I62" s="157"/>
      <c r="K62" s="207"/>
      <c r="L62" s="208"/>
    </row>
    <row r="63" spans="2:12" x14ac:dyDescent="0.25">
      <c r="K63" s="174"/>
      <c r="L63" s="176"/>
    </row>
    <row r="66" spans="2:12" x14ac:dyDescent="0.25">
      <c r="K66" s="210" t="str">
        <f>IF(Start!K7="English","This week you walked "&amp;Schritte!K16+Schritte!L16+Schritte!M16+Schritte!N16+Schritte!O16+Schritte!P16+Schritte!Q16&amp;" measured steps, which is "&amp;Schritte!R18&amp;".",IF(Start!K7="Español","Esta semana has caminado "&amp;Schritte!K16+Schritte!L16+Schritte!M16+Schritte!N16+Schritte!O16+Schritte!P16+Schritte!Q16&amp;" pasos medidos, lo que supone un "&amp;Schritte!R18&amp;".","Diese Woche bist du "&amp;Schritte!K16+Schritte!L16+Schritte!M16+Schritte!N16+Schritte!O16+Schritte!P16+Schritte!Q16&amp;" gemessene Schritte gelaufen, das entspricht "&amp;Schritte!R18&amp;"."))</f>
        <v>Diese Woche bist du 0 gemessene Schritte gelaufen, das entspricht 0 %.</v>
      </c>
      <c r="L66" s="173"/>
    </row>
    <row r="67" spans="2:12" x14ac:dyDescent="0.25">
      <c r="K67" s="207"/>
      <c r="L67" s="208"/>
    </row>
    <row r="68" spans="2:12" x14ac:dyDescent="0.25">
      <c r="K68" s="207"/>
      <c r="L68" s="208"/>
    </row>
    <row r="69" spans="2:12" x14ac:dyDescent="0.25">
      <c r="K69" s="207"/>
      <c r="L69" s="208"/>
    </row>
    <row r="70" spans="2:12" x14ac:dyDescent="0.25">
      <c r="B70" s="158" t="str">
        <f>IF(Start!K7="English","Steps",IF(Start!K7="Español","Pasos","Schritte"))</f>
        <v>Schritte</v>
      </c>
      <c r="C70" s="158"/>
      <c r="D70" s="158"/>
      <c r="E70" s="158"/>
      <c r="F70" s="158"/>
      <c r="G70" s="158"/>
      <c r="H70" s="158"/>
      <c r="I70" s="158"/>
      <c r="K70" s="207"/>
      <c r="L70" s="208"/>
    </row>
    <row r="71" spans="2:12" x14ac:dyDescent="0.25">
      <c r="B71" s="158"/>
      <c r="C71" s="158"/>
      <c r="D71" s="158"/>
      <c r="E71" s="158"/>
      <c r="F71" s="158"/>
      <c r="G71" s="158"/>
      <c r="H71" s="158"/>
      <c r="I71" s="158"/>
      <c r="K71" s="207"/>
      <c r="L71" s="208"/>
    </row>
    <row r="72" spans="2:12" x14ac:dyDescent="0.25">
      <c r="K72" s="174"/>
      <c r="L72" s="176"/>
    </row>
    <row r="75" spans="2:12" x14ac:dyDescent="0.25">
      <c r="K75" s="171" t="str">
        <f>IF(Start!K7="English","This week you covered "&amp;Treppen!K16+Treppen!L16+Treppen!M16+Treppen!N16+Treppen!O16+Treppen!P16+Treppen!Q16&amp;" measured floors, which is "&amp;Treppen!R18&amp;" of the total.",IF(Start!K7="Español","Esta semana has cubierto "&amp;Treppen!K16+Treppen!L16+Treppen!M16+Treppen!N16+Treppen!O16+Treppen!P16+Treppen!Q16&amp;" pisos medidos, lo que supone el "&amp;Treppen!R18&amp;" del total.","Diese Woche hast du "&amp;Treppen!K16+Treppen!L16+Treppen!M16+Treppen!N16+Treppen!O16+Treppen!P16+Treppen!Q16&amp;" ermittelte Stockwerke zurückgelegt, das entspricht "&amp;Treppen!R18&amp;" der Gesamtleistung."))</f>
        <v>Diese Woche hast du 0 ermittelte Stockwerke zurückgelegt, das entspricht 0 % der Gesamtleistung.</v>
      </c>
      <c r="L75" s="173"/>
    </row>
    <row r="76" spans="2:12" x14ac:dyDescent="0.25">
      <c r="K76" s="207"/>
      <c r="L76" s="208"/>
    </row>
    <row r="77" spans="2:12" x14ac:dyDescent="0.25">
      <c r="K77" s="207"/>
      <c r="L77" s="208"/>
    </row>
    <row r="78" spans="2:12" x14ac:dyDescent="0.25">
      <c r="K78" s="207"/>
      <c r="L78" s="208"/>
    </row>
    <row r="79" spans="2:12" x14ac:dyDescent="0.25">
      <c r="B79" s="158" t="str">
        <f>IF(Start!K7="English","Stair climbing",IF(Start!K7="Español","Subir escaleras","Treppensteigen"))</f>
        <v>Treppensteigen</v>
      </c>
      <c r="C79" s="158"/>
      <c r="D79" s="158"/>
      <c r="E79" s="158"/>
      <c r="F79" s="158"/>
      <c r="G79" s="158"/>
      <c r="H79" s="158"/>
      <c r="I79" s="158"/>
      <c r="K79" s="207"/>
      <c r="L79" s="208"/>
    </row>
    <row r="80" spans="2:12" x14ac:dyDescent="0.25">
      <c r="B80" s="158"/>
      <c r="C80" s="158"/>
      <c r="D80" s="158"/>
      <c r="E80" s="158"/>
      <c r="F80" s="158"/>
      <c r="G80" s="158"/>
      <c r="H80" s="158"/>
      <c r="I80" s="158"/>
      <c r="K80" s="207"/>
      <c r="L80" s="208"/>
    </row>
    <row r="81" spans="2:12" x14ac:dyDescent="0.25">
      <c r="K81" s="174"/>
      <c r="L81" s="176"/>
    </row>
    <row r="84" spans="2:12" x14ac:dyDescent="0.25">
      <c r="K84" s="171" t="str">
        <f>IF(Start!K7="English","This week you did "&amp;Squats!K16+Squats!L16+Squats!M16+Squats!N16+Squats!O16+Squats!P16+Squats!Q16&amp;" squats, which is "&amp;Squats!R18&amp;" of the total.",IF(Start!K7="Español","Esta semana has hecho "&amp;Squats!K16+Squats!L16+Squats!M16+Squats!N16+Squats!O16+Squats!P16+Squats!Q16&amp;" sentadillas, lo que supone el "&amp;Squats!R18&amp;" del total.","Diese Woche hast du "&amp;Squats!K16+Squats!L16+Squats!M16+Squats!N16+Squats!O16+Squats!P16+Squats!Q16&amp;" Kniebeuge absolviert, das entspricht "&amp;Squats!R18&amp;" der Gesamtleistung."))</f>
        <v>Diese Woche hast du 0 Kniebeuge absolviert, das entspricht 0 % der Gesamtleistung.</v>
      </c>
      <c r="L84" s="173"/>
    </row>
    <row r="85" spans="2:12" x14ac:dyDescent="0.25">
      <c r="K85" s="207"/>
      <c r="L85" s="208"/>
    </row>
    <row r="86" spans="2:12" x14ac:dyDescent="0.25">
      <c r="K86" s="207"/>
      <c r="L86" s="208"/>
    </row>
    <row r="87" spans="2:12" x14ac:dyDescent="0.25">
      <c r="K87" s="207"/>
      <c r="L87" s="208"/>
    </row>
    <row r="88" spans="2:12" x14ac:dyDescent="0.25">
      <c r="B88" s="158" t="str">
        <f>IF(Start!K7="English","Squats",IF(Start!K7="Español","Sentadillas","Kniebeugen"))</f>
        <v>Kniebeugen</v>
      </c>
      <c r="C88" s="158"/>
      <c r="D88" s="158"/>
      <c r="E88" s="158"/>
      <c r="F88" s="158"/>
      <c r="G88" s="158"/>
      <c r="H88" s="158"/>
      <c r="I88" s="158"/>
      <c r="K88" s="207"/>
      <c r="L88" s="208"/>
    </row>
    <row r="89" spans="2:12" x14ac:dyDescent="0.25">
      <c r="B89" s="158"/>
      <c r="C89" s="158"/>
      <c r="D89" s="158"/>
      <c r="E89" s="158"/>
      <c r="F89" s="158"/>
      <c r="G89" s="158"/>
      <c r="H89" s="158"/>
      <c r="I89" s="158"/>
      <c r="K89" s="207"/>
      <c r="L89" s="208"/>
    </row>
    <row r="90" spans="2:12" x14ac:dyDescent="0.25">
      <c r="K90" s="174"/>
      <c r="L90" s="176"/>
    </row>
    <row r="93" spans="2:12" x14ac:dyDescent="0.25">
      <c r="K93" s="171" t="str">
        <f>IF(Start!K7="English","This week you did "&amp;Pushups!K16+Pushups!L16+Pushups!M16+Pushups!N16+Pushups!O16+Pushups!P16+Pushups!Q16&amp;" push-ups, which is "&amp;Pushups!R18&amp;" of the total.",IF(Start!K7="Español","Esta semana has hecho "&amp;Pushups!K16+Pushups!L16+Pushups!M16+Pushups!N16+Pushups!O16+Pushups!P16+Pushups!Q16&amp;" flexiones, lo que supone el "&amp;Pushups!R18&amp;" del total.","Diese Woche hast du "&amp;Pushups!K16+Pushups!L16+Pushups!M16+Pushups!N16+Pushups!O16+Pushups!P16+Pushups!Q16&amp;" Liegestützen absolviert, das entspricht "&amp;Pushups!R18&amp;" der Gesamtleistung."))</f>
        <v>Diese Woche hast du 0 Liegestützen absolviert, das entspricht 0 % der Gesamtleistung.</v>
      </c>
      <c r="L93" s="173"/>
    </row>
    <row r="94" spans="2:12" x14ac:dyDescent="0.25">
      <c r="K94" s="207"/>
      <c r="L94" s="208"/>
    </row>
    <row r="95" spans="2:12" x14ac:dyDescent="0.25">
      <c r="K95" s="207"/>
      <c r="L95" s="208"/>
    </row>
    <row r="96" spans="2:12" x14ac:dyDescent="0.25">
      <c r="K96" s="207"/>
      <c r="L96" s="208"/>
    </row>
    <row r="97" spans="2:12" x14ac:dyDescent="0.25">
      <c r="B97" s="158" t="str">
        <f>IF(Start!K7="English","Push-ups",IF(Start!K7="Español","Flexiones","Liegestützen"))</f>
        <v>Liegestützen</v>
      </c>
      <c r="C97" s="158"/>
      <c r="D97" s="158"/>
      <c r="E97" s="158"/>
      <c r="F97" s="158"/>
      <c r="G97" s="158"/>
      <c r="H97" s="158"/>
      <c r="I97" s="158"/>
      <c r="K97" s="207"/>
      <c r="L97" s="208"/>
    </row>
    <row r="98" spans="2:12" x14ac:dyDescent="0.25">
      <c r="B98" s="158"/>
      <c r="C98" s="158"/>
      <c r="D98" s="158"/>
      <c r="E98" s="158"/>
      <c r="F98" s="158"/>
      <c r="G98" s="158"/>
      <c r="H98" s="158"/>
      <c r="I98" s="158"/>
      <c r="K98" s="207"/>
      <c r="L98" s="208"/>
    </row>
    <row r="99" spans="2:12" x14ac:dyDescent="0.25">
      <c r="K99" s="174"/>
      <c r="L99" s="176"/>
    </row>
    <row r="102" spans="2:12" x14ac:dyDescent="0.25">
      <c r="K102" s="171" t="str">
        <f>IF(Start!K7="English","This week you did "&amp;Situps!K16+Situps!L16+Situps!M16+Situps!N16+Situps!O16+Situps!P16+Situps!Q16&amp;" sit-ups, which is "&amp;Situps!R18&amp;" of the total.",IF(Start!K7="Español","Esta semana has hecho "&amp;Situps!K16+Situps!L16+Situps!M16+Situps!N16+Situps!O16+Situps!P16+Situps!Q16&amp;" abdominales, lo que supone el "&amp;Situps!R18&amp;" del total.","Diese Woche hast du "&amp;Situps!K16+Situps!L16+Situps!M16+Situps!N16+Situps!O16+Situps!P16+Situps!Q16&amp;" Rumpfbeugen absolviert, das entspricht "&amp;Situps!R18&amp;" der Gesamtleistung."))</f>
        <v>Diese Woche hast du 0 Rumpfbeugen absolviert, das entspricht 0 % der Gesamtleistung.</v>
      </c>
      <c r="L102" s="173"/>
    </row>
    <row r="103" spans="2:12" x14ac:dyDescent="0.25">
      <c r="K103" s="207"/>
      <c r="L103" s="208"/>
    </row>
    <row r="104" spans="2:12" x14ac:dyDescent="0.25">
      <c r="K104" s="207"/>
      <c r="L104" s="208"/>
    </row>
    <row r="105" spans="2:12" x14ac:dyDescent="0.25">
      <c r="K105" s="207"/>
      <c r="L105" s="208"/>
    </row>
    <row r="106" spans="2:12" x14ac:dyDescent="0.25">
      <c r="B106" s="158" t="str">
        <f>IF(Start!K7="English","Sit-ups",IF(Start!K7="Español","Abdominales","Rumpfbeugen"))</f>
        <v>Rumpfbeugen</v>
      </c>
      <c r="C106" s="158"/>
      <c r="D106" s="158"/>
      <c r="E106" s="158"/>
      <c r="F106" s="158"/>
      <c r="G106" s="158"/>
      <c r="H106" s="158"/>
      <c r="I106" s="158"/>
      <c r="K106" s="207"/>
      <c r="L106" s="208"/>
    </row>
    <row r="107" spans="2:12" x14ac:dyDescent="0.25">
      <c r="B107" s="158"/>
      <c r="C107" s="158"/>
      <c r="D107" s="158"/>
      <c r="E107" s="158"/>
      <c r="F107" s="158"/>
      <c r="G107" s="158"/>
      <c r="H107" s="158"/>
      <c r="I107" s="158"/>
      <c r="K107" s="207"/>
      <c r="L107" s="208"/>
    </row>
    <row r="108" spans="2:12" x14ac:dyDescent="0.25">
      <c r="K108" s="174"/>
      <c r="L108" s="176"/>
    </row>
  </sheetData>
  <mergeCells count="70">
    <mergeCell ref="M34:N34"/>
    <mergeCell ref="B61:I62"/>
    <mergeCell ref="K57:L63"/>
    <mergeCell ref="L24:M25"/>
    <mergeCell ref="L26:M27"/>
    <mergeCell ref="L28:M29"/>
    <mergeCell ref="A38:I39"/>
    <mergeCell ref="A32:I33"/>
    <mergeCell ref="A35:I36"/>
    <mergeCell ref="A23:I24"/>
    <mergeCell ref="A29:I30"/>
    <mergeCell ref="Q24:R25"/>
    <mergeCell ref="Q26:R27"/>
    <mergeCell ref="Q28:R29"/>
    <mergeCell ref="N28:O29"/>
    <mergeCell ref="P28:P29"/>
    <mergeCell ref="N24:O25"/>
    <mergeCell ref="N26:O27"/>
    <mergeCell ref="P24:P25"/>
    <mergeCell ref="P26:P27"/>
    <mergeCell ref="P22:P23"/>
    <mergeCell ref="Q18:R19"/>
    <mergeCell ref="L16:M17"/>
    <mergeCell ref="L18:M19"/>
    <mergeCell ref="Q22:R23"/>
    <mergeCell ref="L22:M23"/>
    <mergeCell ref="P18:P19"/>
    <mergeCell ref="P16:P17"/>
    <mergeCell ref="Q16:R17"/>
    <mergeCell ref="N16:O17"/>
    <mergeCell ref="N18:O19"/>
    <mergeCell ref="L20:M21"/>
    <mergeCell ref="N20:O21"/>
    <mergeCell ref="Q20:R21"/>
    <mergeCell ref="N22:O23"/>
    <mergeCell ref="P20:P21"/>
    <mergeCell ref="A4:J5"/>
    <mergeCell ref="K4:P5"/>
    <mergeCell ref="Q4:R4"/>
    <mergeCell ref="Q5:R5"/>
    <mergeCell ref="A1:J3"/>
    <mergeCell ref="K1:Q3"/>
    <mergeCell ref="B8:H9"/>
    <mergeCell ref="A11:I12"/>
    <mergeCell ref="A14:I15"/>
    <mergeCell ref="A17:I18"/>
    <mergeCell ref="A20:I21"/>
    <mergeCell ref="K16:K17"/>
    <mergeCell ref="K18:K19"/>
    <mergeCell ref="K22:K23"/>
    <mergeCell ref="K24:K25"/>
    <mergeCell ref="K26:K27"/>
    <mergeCell ref="K20:K21"/>
    <mergeCell ref="K7:N7"/>
    <mergeCell ref="K8:N8"/>
    <mergeCell ref="K9:N9"/>
    <mergeCell ref="K10:N10"/>
    <mergeCell ref="N15:O15"/>
    <mergeCell ref="L15:M15"/>
    <mergeCell ref="B79:I80"/>
    <mergeCell ref="K75:L81"/>
    <mergeCell ref="K28:K29"/>
    <mergeCell ref="K66:L72"/>
    <mergeCell ref="B70:I71"/>
    <mergeCell ref="K93:L99"/>
    <mergeCell ref="B97:I98"/>
    <mergeCell ref="B106:I107"/>
    <mergeCell ref="K102:L108"/>
    <mergeCell ref="K84:L90"/>
    <mergeCell ref="B88:I89"/>
  </mergeCells>
  <phoneticPr fontId="6" type="noConversion"/>
  <dataValidations count="9">
    <dataValidation allowBlank="1" showInputMessage="1" showErrorMessage="1" errorTitle="Achtung, Sabotage-Akt" error="Die Daten im dunkelblauen Bereich aktualisieren sich von selbst und bedürfen keiner manuellen Korrektur._x000a_Aber danke, dass du es trotzdem versucht hast!" sqref="K4:P5 Q5:R5" xr:uid="{A51692BC-B444-4FE7-8EC7-4F8F2EEDFBAC}"/>
    <dataValidation type="whole" allowBlank="1" showInputMessage="1" showErrorMessage="1" errorTitle="Achtung, Sabotage-Akt" error="Die Daten im dunkelblauen Bereich aktualisieren sich von selbst und bedürfen keiner manuellen Korrektur._x000a_Aber danke, dass du es trotzdem versucht hast!" sqref="A4:J5 Q4:R4" xr:uid="{81346F7B-5E17-40F6-8E56-5F054F9CFCBA}">
      <formula1>1.0000101010101E+39</formula1>
      <formula2>1.0000101010101E+39</formula2>
    </dataValidation>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E37:I37 E25:I25 E28:I28 E31:I31 E40:I41 E34:I34 J23:J41 K30:Q33" xr:uid="{32FA725D-BF40-4EF9-A8F2-23E12B73F43D}">
      <formula1>1.00001001001E+39</formula1>
      <formula2>1.00001001001E+39</formula2>
    </dataValidation>
    <dataValidation allowBlank="1" showInputMessage="1" showErrorMessage="1" promptTitle="Wichtige Info!" prompt="Gib hier bitte deine Wunsch-Kalenderwoche zum Durchstarten ein!" sqref="Q12:Q13" xr:uid="{100700CA-7DBF-4BE7-B84B-71F699F15ECE}"/>
    <dataValidation type="whole" allowBlank="1" showInputMessage="1" showErrorMessage="1" errorTitle="Achtung, Sabotage-Akt!" error="Du darfst hier keine Änderungen vornehmen, denn hier sind wichtige Formeln in der Zelle hinterlegt!" sqref="L16:R29" xr:uid="{C9622C05-D397-4AFE-8B83-86BBA6A31698}">
      <formula1>1.0050010000103E+39</formula1>
      <formula2>1.0050010000103E+39</formula2>
    </dataValidation>
    <dataValidation type="whole" allowBlank="1" showInputMessage="1" showErrorMessage="1" errorTitle="Achtung, kein Eingabe-Bereich!" error="Du darfst hier nichts abändern, ergänzen oder gar löschen!" sqref="B70:I71" xr:uid="{B3810EDE-F955-4893-B1DA-8DB3840237CB}">
      <formula1>1.00002001101E+39</formula1>
      <formula2>1.00002001101E+39</formula2>
    </dataValidation>
    <dataValidation type="whole" allowBlank="1" showInputMessage="1" showErrorMessage="1" errorTitle="Achtung, kein Eingabebereich!" error="Du darfst hier keine Veränderungen vornehmen!" sqref="K57:L63" xr:uid="{62EA6CBE-297F-4A9D-915C-B88F4608D8D7}">
      <formula1>1.0000100020101E+39</formula1>
      <formula2>1.0000100020101E+39</formula2>
    </dataValidation>
    <dataValidation type="whole" allowBlank="1" showInputMessage="1" showErrorMessage="1" errorTitle="Achtung, Sabotage-Akt!" error="Du darfst hier nichts ändern, ergänzen oder gar löschen!_x000a_" sqref="K93:L99" xr:uid="{212B397A-9A08-41C6-8A5C-9AF277088A6E}">
      <formula1>8.0000090054065E+39</formula1>
      <formula2>8.0000090054065E+39</formula2>
    </dataValidation>
    <dataValidation type="whole" allowBlank="1" showInputMessage="1" showErrorMessage="1" errorTitle="Achtung, Sabotage-Akt!" error="Du darfst hier nichts ändern, ergänzen oder gar löschen!" sqref="K102:L108 K84:L90 K66:L72" xr:uid="{4CDD30A8-D182-463E-9683-44AB72DC1A68}">
      <formula1>8.0000090054065E+39</formula1>
      <formula2>8.0000090054065E+39</formula2>
    </dataValidation>
  </dataValidations>
  <pageMargins left="0.7" right="0.7" top="0.78740157499999996" bottom="0.78740157499999996"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4B21F-CBD2-40D2-9075-6A2AC08E17A4}">
  <dimension ref="A1:R43"/>
  <sheetViews>
    <sheetView showGridLines="0" showRowColHeaders="0" topLeftCell="A7" zoomScaleNormal="100" workbookViewId="0">
      <selection activeCell="K17" sqref="K17"/>
    </sheetView>
  </sheetViews>
  <sheetFormatPr baseColWidth="10" defaultRowHeight="15" x14ac:dyDescent="0.25"/>
  <cols>
    <col min="1" max="10" width="2.85546875" customWidth="1"/>
    <col min="12" max="12" width="2.85546875" customWidth="1"/>
    <col min="13" max="13" width="12.7109375" customWidth="1"/>
    <col min="14" max="14" width="2.85546875" customWidth="1"/>
    <col min="15" max="15" width="11.42578125" customWidth="1"/>
    <col min="16" max="16" width="28.5703125" customWidth="1"/>
    <col min="19" max="19" width="1.42578125" customWidth="1"/>
  </cols>
  <sheetData>
    <row r="1" spans="1:18" x14ac:dyDescent="0.25">
      <c r="A1" s="85"/>
      <c r="B1" s="85"/>
      <c r="C1" s="85"/>
      <c r="D1" s="85"/>
      <c r="E1" s="85"/>
      <c r="F1" s="85"/>
      <c r="G1" s="85"/>
      <c r="H1" s="85"/>
      <c r="I1" s="85"/>
      <c r="J1" s="85"/>
      <c r="K1" s="83" t="str">
        <f>IF(Start!K7="English","Your personal data and information",IF(Start!K7="Español","Tus datos personales e información","Deine persönlichen Daten und Infos"))</f>
        <v>Deine persönlichen Daten und Infos</v>
      </c>
      <c r="L1" s="232"/>
      <c r="M1" s="232"/>
      <c r="N1" s="232"/>
      <c r="O1" s="232"/>
      <c r="P1" s="232"/>
      <c r="Q1" s="85"/>
      <c r="R1" s="85"/>
    </row>
    <row r="2" spans="1:18" x14ac:dyDescent="0.25">
      <c r="A2" s="85"/>
      <c r="B2" s="85"/>
      <c r="C2" s="85"/>
      <c r="D2" s="85"/>
      <c r="E2" s="85"/>
      <c r="F2" s="85"/>
      <c r="G2" s="85"/>
      <c r="H2" s="85"/>
      <c r="I2" s="85"/>
      <c r="J2" s="85"/>
      <c r="K2" s="232"/>
      <c r="L2" s="232"/>
      <c r="M2" s="232"/>
      <c r="N2" s="232"/>
      <c r="O2" s="232"/>
      <c r="P2" s="232"/>
      <c r="Q2" s="85"/>
      <c r="R2" s="85"/>
    </row>
    <row r="3" spans="1:18" x14ac:dyDescent="0.25">
      <c r="A3" s="85"/>
      <c r="B3" s="85"/>
      <c r="C3" s="85"/>
      <c r="D3" s="85"/>
      <c r="E3" s="85"/>
      <c r="F3" s="85"/>
      <c r="G3" s="85"/>
      <c r="H3" s="85"/>
      <c r="I3" s="85"/>
      <c r="J3" s="85"/>
      <c r="K3" s="232"/>
      <c r="L3" s="232"/>
      <c r="M3" s="232"/>
      <c r="N3" s="232"/>
      <c r="O3" s="232"/>
      <c r="P3" s="232"/>
      <c r="Q3" s="85"/>
      <c r="R3" s="85"/>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8" spans="1:18" x14ac:dyDescent="0.25">
      <c r="B8" s="79" t="str">
        <f>IF(Start!K6="English","Start",IF(Start!K6="Español","Inicio","Start"))</f>
        <v>Start</v>
      </c>
      <c r="C8" s="79"/>
      <c r="D8" s="79"/>
      <c r="E8" s="79"/>
      <c r="F8" s="79"/>
      <c r="G8" s="79"/>
      <c r="H8" s="79"/>
      <c r="K8" s="2" t="str">
        <f>IF(Start!K7="English","Please enter your size here in feet and inches, the data will be converted to meters:",IF(Start!K7="Español","Introduzca tu talla en pies y pulgadas, los datos se convertirán en metros:","Gib hier bitte deine Größe in Fuß und Zoll an, die Daten werden dann in Meter umgewandelt:"))</f>
        <v>Gib hier bitte deine Größe in Fuß und Zoll an, die Daten werden dann in Meter umgewandelt:</v>
      </c>
      <c r="L8" s="1"/>
    </row>
    <row r="9" spans="1:18" x14ac:dyDescent="0.25">
      <c r="B9" s="79"/>
      <c r="C9" s="79"/>
      <c r="D9" s="79"/>
      <c r="E9" s="79"/>
      <c r="F9" s="79"/>
      <c r="G9" s="79"/>
      <c r="H9" s="79"/>
    </row>
    <row r="10" spans="1:18" x14ac:dyDescent="0.25">
      <c r="K10" s="234"/>
      <c r="M10" s="234"/>
      <c r="N10" s="233" t="s">
        <v>153</v>
      </c>
      <c r="O10" s="126">
        <f>ROUNDDOWN(K10*0.3048+M10*0.0254,2)</f>
        <v>0</v>
      </c>
    </row>
    <row r="11" spans="1:18" x14ac:dyDescent="0.25">
      <c r="A11" s="79" t="str">
        <f>IF(Start!K7="English","Personal data",IF(Start!K7="Español","Datos personales","Persönliche Daten"))</f>
        <v>Persönliche Daten</v>
      </c>
      <c r="B11" s="79"/>
      <c r="C11" s="79"/>
      <c r="D11" s="79"/>
      <c r="E11" s="79"/>
      <c r="F11" s="79"/>
      <c r="G11" s="79"/>
      <c r="H11" s="79"/>
      <c r="I11" s="79"/>
      <c r="K11" s="234"/>
      <c r="M11" s="234"/>
      <c r="N11" s="84"/>
      <c r="O11" s="126"/>
    </row>
    <row r="12" spans="1:18" x14ac:dyDescent="0.25">
      <c r="A12" s="79"/>
      <c r="B12" s="79"/>
      <c r="C12" s="79"/>
      <c r="D12" s="79"/>
      <c r="E12" s="79"/>
      <c r="F12" s="79"/>
      <c r="G12" s="79"/>
      <c r="H12" s="79"/>
      <c r="I12" s="79"/>
      <c r="K12" s="8" t="str">
        <f>IF(Start!K7="English","Feet",IF(Start!K7="Español","Pie","Fuß"))</f>
        <v>Fuß</v>
      </c>
      <c r="M12" s="8" t="str">
        <f>IF(Start!K7="English","Inch",IF(Start!K7="Español","Pulgadas","Zoll"))</f>
        <v>Zoll</v>
      </c>
      <c r="O12" s="8" t="str">
        <f>IF(Start!K7="English","Meter",IF(Start!K7="Español","Metro","Meter"))</f>
        <v>Meter</v>
      </c>
    </row>
    <row r="13" spans="1:18" x14ac:dyDescent="0.25">
      <c r="M13" s="3"/>
      <c r="N13" s="3"/>
      <c r="O13" s="3"/>
    </row>
    <row r="14" spans="1:18" x14ac:dyDescent="0.25">
      <c r="A14" s="79" t="str">
        <f>IF(Start!K7="English","Weight table",IF(Start!K7="Español","Tabla de pesos","Gewichtstabelle"))</f>
        <v>Gewichtstabelle</v>
      </c>
      <c r="B14" s="79"/>
      <c r="C14" s="79"/>
      <c r="D14" s="79"/>
      <c r="E14" s="79"/>
      <c r="F14" s="79"/>
      <c r="G14" s="79"/>
      <c r="H14" s="79"/>
      <c r="I14" s="79"/>
    </row>
    <row r="15" spans="1:18" x14ac:dyDescent="0.25">
      <c r="A15" s="79"/>
      <c r="B15" s="79"/>
      <c r="C15" s="79"/>
      <c r="D15" s="79"/>
      <c r="E15" s="79"/>
      <c r="F15" s="79"/>
      <c r="G15" s="79"/>
      <c r="H15" s="79"/>
      <c r="I15" s="79"/>
      <c r="K15" s="234"/>
      <c r="L15" s="233" t="s">
        <v>153</v>
      </c>
      <c r="M15" s="126">
        <f>ROUNDDOWN(K15*1/2.20462262,1)</f>
        <v>0</v>
      </c>
      <c r="N15" s="3"/>
    </row>
    <row r="16" spans="1:18" x14ac:dyDescent="0.25">
      <c r="K16" s="234"/>
      <c r="L16" s="84"/>
      <c r="M16" s="126"/>
    </row>
    <row r="17" spans="1:17" x14ac:dyDescent="0.25">
      <c r="A17" s="79" t="str">
        <f>IF(Start!K7="English","Weight target",IF(Start!K7="Español","Objetivo de peso","Gewichts-Ziel"))</f>
        <v>Gewichts-Ziel</v>
      </c>
      <c r="B17" s="79"/>
      <c r="C17" s="79"/>
      <c r="D17" s="79"/>
      <c r="E17" s="79"/>
      <c r="F17" s="79"/>
      <c r="G17" s="79"/>
      <c r="H17" s="79"/>
      <c r="I17" s="79"/>
      <c r="K17" s="8" t="str">
        <f>IF(Start!K7="English","Pound",IF(Start!K7="Español","Libra","Pfund"))</f>
        <v>Pfund</v>
      </c>
      <c r="M17" s="8" t="str">
        <f>IF(Start!K7="English","Kilogram",IF(Start!K7="Español","Kilogramo","kg"))</f>
        <v>kg</v>
      </c>
      <c r="N17" s="8"/>
    </row>
    <row r="18" spans="1:17" x14ac:dyDescent="0.25">
      <c r="A18" s="79"/>
      <c r="B18" s="79"/>
      <c r="C18" s="79"/>
      <c r="D18" s="79"/>
      <c r="E18" s="79"/>
      <c r="F18" s="79"/>
      <c r="G18" s="79"/>
      <c r="H18" s="79"/>
      <c r="I18" s="79"/>
      <c r="P18" s="87" t="str">
        <f>IF(Start!K7="English","Back to data entry",IF(Start!K7="Español","Volver a la introducción de datos","Zurück zur Eingabe"))</f>
        <v>Zurück zur Eingabe</v>
      </c>
    </row>
    <row r="19" spans="1:17" x14ac:dyDescent="0.25">
      <c r="M19" s="27"/>
      <c r="N19" s="8"/>
      <c r="P19" s="87"/>
    </row>
    <row r="21" spans="1:17" x14ac:dyDescent="0.25">
      <c r="M21" s="28"/>
    </row>
    <row r="22" spans="1:17" x14ac:dyDescent="0.25">
      <c r="N22" t="s">
        <v>0</v>
      </c>
    </row>
    <row r="23" spans="1:17" x14ac:dyDescent="0.25">
      <c r="E23" s="9"/>
      <c r="F23" s="9"/>
      <c r="G23" s="9"/>
      <c r="H23" s="9"/>
      <c r="I23" s="9"/>
      <c r="J23" s="9"/>
      <c r="K23" s="9"/>
      <c r="L23" s="9"/>
      <c r="M23" s="9"/>
      <c r="N23" s="9"/>
      <c r="O23" s="9"/>
      <c r="P23" s="9"/>
      <c r="Q23" s="9"/>
    </row>
    <row r="24" spans="1:17" ht="15" customHeight="1" x14ac:dyDescent="0.25">
      <c r="E24" s="29"/>
      <c r="F24" s="29"/>
      <c r="G24" s="29"/>
      <c r="H24" s="29"/>
      <c r="I24" s="29"/>
      <c r="J24" s="29"/>
      <c r="K24" s="29"/>
      <c r="L24" s="29"/>
      <c r="M24" s="29"/>
      <c r="N24" s="29"/>
      <c r="O24" s="29"/>
      <c r="P24" s="29"/>
      <c r="Q24" s="29"/>
    </row>
    <row r="25" spans="1:17" x14ac:dyDescent="0.25">
      <c r="E25" s="29"/>
      <c r="F25" s="29"/>
      <c r="G25" s="29"/>
      <c r="H25" s="29"/>
      <c r="I25" s="29"/>
      <c r="J25" s="29"/>
      <c r="K25" s="29"/>
      <c r="L25" s="29"/>
      <c r="M25" s="29"/>
      <c r="N25" s="29"/>
      <c r="O25" s="29"/>
      <c r="P25" s="29"/>
      <c r="Q25" s="29"/>
    </row>
    <row r="26" spans="1:17" x14ac:dyDescent="0.25">
      <c r="E26" s="29"/>
      <c r="F26" s="29"/>
      <c r="G26" s="29"/>
      <c r="H26" s="29"/>
      <c r="I26" s="29"/>
      <c r="J26" s="29"/>
      <c r="K26" s="29"/>
      <c r="L26" s="29"/>
      <c r="M26" s="29"/>
      <c r="N26" s="29"/>
      <c r="O26" s="29"/>
      <c r="P26" s="29"/>
      <c r="Q26" s="29"/>
    </row>
    <row r="27" spans="1:17" x14ac:dyDescent="0.25">
      <c r="E27" s="29"/>
      <c r="F27" s="29"/>
      <c r="G27" s="29"/>
      <c r="H27" s="29"/>
      <c r="I27" s="29"/>
      <c r="J27" s="29"/>
      <c r="K27" s="29"/>
      <c r="L27" s="29"/>
      <c r="M27" s="29"/>
      <c r="N27" s="29"/>
      <c r="O27" s="29"/>
      <c r="P27" s="29"/>
      <c r="Q27" s="29"/>
    </row>
    <row r="28" spans="1:17" x14ac:dyDescent="0.25">
      <c r="E28" s="29"/>
      <c r="F28" s="29"/>
      <c r="G28" s="29"/>
      <c r="H28" s="29"/>
      <c r="I28" s="29"/>
      <c r="J28" s="29"/>
      <c r="K28" s="29"/>
      <c r="L28" s="29"/>
      <c r="M28" s="29"/>
      <c r="N28" s="29"/>
      <c r="O28" s="29"/>
      <c r="P28" s="29"/>
      <c r="Q28" s="29"/>
    </row>
    <row r="29" spans="1:17" x14ac:dyDescent="0.25">
      <c r="E29" s="29"/>
      <c r="F29" s="29"/>
      <c r="G29" s="29"/>
      <c r="H29" s="29"/>
      <c r="I29" s="29"/>
      <c r="J29" s="29"/>
      <c r="K29" s="29"/>
      <c r="L29" s="29"/>
      <c r="M29" s="29"/>
      <c r="N29" s="29"/>
      <c r="O29" s="29"/>
      <c r="P29" s="29"/>
      <c r="Q29" s="29"/>
    </row>
    <row r="30" spans="1:17" x14ac:dyDescent="0.25">
      <c r="E30" s="29"/>
      <c r="F30" s="29"/>
      <c r="G30" s="29"/>
      <c r="H30" s="29"/>
      <c r="I30" s="29"/>
      <c r="J30" s="29"/>
      <c r="K30" s="29"/>
      <c r="L30" s="29"/>
      <c r="M30" s="29"/>
      <c r="N30" s="29"/>
      <c r="O30" s="29"/>
      <c r="P30" s="29"/>
      <c r="Q30" s="29"/>
    </row>
    <row r="31" spans="1:17" x14ac:dyDescent="0.25">
      <c r="E31" s="29"/>
      <c r="F31" s="29"/>
      <c r="G31" s="29"/>
      <c r="H31" s="29"/>
      <c r="I31" s="29"/>
      <c r="J31" s="29"/>
      <c r="K31" s="29"/>
      <c r="L31" s="29"/>
      <c r="M31" s="29"/>
      <c r="N31" s="29"/>
      <c r="O31" s="29"/>
      <c r="P31" s="29"/>
      <c r="Q31" s="29"/>
    </row>
    <row r="32" spans="1:17" x14ac:dyDescent="0.25">
      <c r="E32" s="29"/>
      <c r="F32" s="29"/>
      <c r="G32" s="29"/>
      <c r="H32" s="29"/>
      <c r="I32" s="29"/>
      <c r="J32" s="29"/>
      <c r="K32" s="29"/>
      <c r="L32" s="29"/>
      <c r="M32" s="29"/>
      <c r="N32" s="29"/>
      <c r="O32" s="29"/>
      <c r="P32" s="29"/>
      <c r="Q32" s="29"/>
    </row>
    <row r="33" spans="5:17" x14ac:dyDescent="0.25">
      <c r="E33" s="29"/>
      <c r="F33" s="29"/>
      <c r="G33" s="29"/>
      <c r="H33" s="29"/>
      <c r="I33" s="29"/>
      <c r="J33" s="29"/>
      <c r="K33" s="29"/>
      <c r="L33" s="29"/>
      <c r="M33" s="29"/>
      <c r="N33" s="29"/>
      <c r="O33" s="29"/>
      <c r="P33" s="29"/>
      <c r="Q33" s="29"/>
    </row>
    <row r="34" spans="5:17" x14ac:dyDescent="0.25">
      <c r="E34" s="29"/>
      <c r="F34" s="29"/>
      <c r="G34" s="29"/>
      <c r="H34" s="29"/>
      <c r="I34" s="29"/>
      <c r="J34" s="29"/>
      <c r="K34" s="29"/>
      <c r="L34" s="29"/>
      <c r="M34" s="29"/>
      <c r="N34" s="29"/>
      <c r="O34" s="29"/>
      <c r="P34" s="29"/>
      <c r="Q34" s="29"/>
    </row>
    <row r="35" spans="5:17" x14ac:dyDescent="0.25">
      <c r="E35" s="29"/>
      <c r="F35" s="29"/>
      <c r="G35" s="29"/>
      <c r="H35" s="29"/>
      <c r="I35" s="29"/>
      <c r="J35" s="29"/>
      <c r="K35" s="29"/>
      <c r="L35" s="29"/>
      <c r="M35" s="29"/>
      <c r="N35" s="29"/>
      <c r="O35" s="29"/>
      <c r="P35" s="29"/>
      <c r="Q35" s="29"/>
    </row>
    <row r="36" spans="5:17" x14ac:dyDescent="0.25">
      <c r="E36" s="29"/>
      <c r="F36" s="29"/>
      <c r="G36" s="29"/>
      <c r="H36" s="29"/>
      <c r="I36" s="29"/>
      <c r="J36" s="29"/>
      <c r="K36" s="29"/>
      <c r="L36" s="29"/>
      <c r="M36" s="29"/>
      <c r="N36" s="29"/>
      <c r="O36" s="29"/>
      <c r="P36" s="29"/>
      <c r="Q36" s="29"/>
    </row>
    <row r="37" spans="5:17" x14ac:dyDescent="0.25">
      <c r="E37" s="29"/>
      <c r="F37" s="29"/>
      <c r="G37" s="29"/>
      <c r="H37" s="29"/>
      <c r="I37" s="29"/>
      <c r="J37" s="29"/>
      <c r="K37" s="29"/>
      <c r="L37" s="29"/>
      <c r="M37" s="29"/>
      <c r="N37" s="29"/>
      <c r="O37" s="29"/>
      <c r="P37" s="29"/>
      <c r="Q37" s="29"/>
    </row>
    <row r="38" spans="5:17" x14ac:dyDescent="0.25">
      <c r="E38" s="29"/>
      <c r="F38" s="29"/>
      <c r="G38" s="29"/>
      <c r="H38" s="29"/>
      <c r="I38" s="29"/>
      <c r="J38" s="29"/>
      <c r="K38" s="29"/>
      <c r="L38" s="29"/>
      <c r="M38" s="29"/>
      <c r="N38" s="29"/>
      <c r="O38" s="29"/>
      <c r="P38" s="29"/>
      <c r="Q38" s="29"/>
    </row>
    <row r="39" spans="5:17" x14ac:dyDescent="0.25">
      <c r="E39" s="29"/>
      <c r="F39" s="29"/>
      <c r="G39" s="29"/>
      <c r="H39" s="29"/>
      <c r="I39" s="29"/>
      <c r="J39" s="29"/>
      <c r="K39" s="29"/>
      <c r="L39" s="29"/>
      <c r="M39" s="29"/>
      <c r="N39" s="29"/>
      <c r="O39" s="29"/>
      <c r="P39" s="29"/>
      <c r="Q39" s="29"/>
    </row>
    <row r="40" spans="5:17" x14ac:dyDescent="0.25">
      <c r="E40" s="29"/>
      <c r="F40" s="29"/>
      <c r="G40" s="29"/>
      <c r="H40" s="29"/>
      <c r="I40" s="29"/>
      <c r="J40" s="29"/>
      <c r="K40" s="29"/>
      <c r="L40" s="29"/>
      <c r="M40" s="29"/>
      <c r="N40" s="29"/>
      <c r="O40" s="29"/>
      <c r="P40" s="29"/>
      <c r="Q40" s="29"/>
    </row>
    <row r="41" spans="5:17" x14ac:dyDescent="0.25">
      <c r="E41" s="29"/>
      <c r="F41" s="29"/>
      <c r="G41" s="29"/>
      <c r="H41" s="29"/>
      <c r="I41" s="29"/>
      <c r="J41" s="29"/>
      <c r="K41" s="29"/>
      <c r="L41" s="29"/>
      <c r="M41" s="29"/>
      <c r="N41" s="29"/>
      <c r="O41" s="29"/>
      <c r="P41" s="29"/>
      <c r="Q41" s="29"/>
    </row>
    <row r="42" spans="5:17" x14ac:dyDescent="0.25">
      <c r="E42" s="10"/>
      <c r="F42" s="10"/>
      <c r="G42" s="10"/>
      <c r="H42" s="10"/>
      <c r="I42" s="10"/>
      <c r="J42" s="10"/>
      <c r="K42" s="10"/>
      <c r="L42" s="10"/>
      <c r="M42" s="10"/>
      <c r="N42" s="10"/>
      <c r="O42" s="10"/>
      <c r="P42" s="10"/>
      <c r="Q42" s="10"/>
    </row>
    <row r="43" spans="5:17" x14ac:dyDescent="0.25">
      <c r="E43" s="10"/>
      <c r="F43" s="10"/>
      <c r="G43" s="10"/>
      <c r="H43" s="10"/>
      <c r="I43" s="10"/>
      <c r="J43" s="10"/>
      <c r="K43" s="10"/>
      <c r="L43" s="10"/>
      <c r="M43" s="10"/>
      <c r="N43" s="10"/>
      <c r="O43" s="10"/>
      <c r="P43" s="10"/>
      <c r="Q43" s="10"/>
    </row>
  </sheetData>
  <mergeCells count="19">
    <mergeCell ref="M15:M16"/>
    <mergeCell ref="P18:P19"/>
    <mergeCell ref="B8:H9"/>
    <mergeCell ref="A11:I12"/>
    <mergeCell ref="A14:I15"/>
    <mergeCell ref="A17:I18"/>
    <mergeCell ref="N10:N11"/>
    <mergeCell ref="O10:O11"/>
    <mergeCell ref="K10:K11"/>
    <mergeCell ref="M10:M11"/>
    <mergeCell ref="K15:K16"/>
    <mergeCell ref="L15:L16"/>
    <mergeCell ref="A1:J3"/>
    <mergeCell ref="K1:P3"/>
    <mergeCell ref="Q1:R3"/>
    <mergeCell ref="A4:J5"/>
    <mergeCell ref="K4:P5"/>
    <mergeCell ref="Q4:R4"/>
    <mergeCell ref="Q5:R5"/>
  </mergeCells>
  <dataValidations count="10">
    <dataValidation allowBlank="1" showInputMessage="1" showErrorMessage="1" errorTitle="Achtung, Sabotage-Akt" error="Die Daten im dunkelblauen Bereich aktualisieren sich von selbst und bedürfen keiner manuellen Korrektur._x000a_Aber danke, dass du es trotzdem versucht hast!" sqref="Q5:R5 K4:P5" xr:uid="{BE790F5B-06A9-4501-9EB4-F5A96B185DA1}"/>
    <dataValidation type="whole" allowBlank="1" showInputMessage="1" showErrorMessage="1" errorTitle="Achtung, Sabotage-Akt" error="Die Daten im dunkelblauen Bereich aktualisieren sich von selbst und bedürfen keiner manuellen Korrektur._x000a_Aber danke, dass du es trotzdem versucht hast!" sqref="A4:J5 Q4:R4" xr:uid="{B5E40971-D433-4589-9320-548941F32895}">
      <formula1>1.0000101010101E+39</formula1>
      <formula2>1.0000101010101E+39</formula2>
    </dataValidation>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E23:Q41" xr:uid="{9A234EB3-49CC-4428-A5F4-3F27ECC8F823}">
      <formula1>1.00001001001E+39</formula1>
      <formula2>1.00001001001E+39</formula2>
    </dataValidation>
    <dataValidation allowBlank="1" errorTitle="Achtung, Sabotage-Akt!" error="Zellen, die grün markiert sind, eignen sich nicht zur Dateneingabe. Hier sind Formeln hinterlegt, welche nicht zerstört werden dürfen. Danke für dein Verständnis!" promptTitle="Wichtige Info!" prompt="Du darfst hier nichts eingeben, es wird alles automatisch berechnet!" sqref="M21" xr:uid="{AFF91F50-3547-4CF5-8001-A9B7126A9333}"/>
    <dataValidation allowBlank="1" showErrorMessage="1" errorTitle="Achtung, fehlerhafte Eingabe!" error="Du musst schon ein real existierendes Datum eingeben. Vielleicht hast du dich auch nur vertippt oder die Umschalttaste gedrückt, sodass ein ':' statt ein '.' eingegeben wurde." promptTitle="Wichtige Info!" prompt="Gib hier dein Geburtsdatum ein, entweder in den Formaten:_x000a_Zum Beispiel so:_x000a_          05.04.2023_x000a_          5.4.23 _x000a_oder _x000a_          2023-04-05_x000a_jede dieser Eingaben hat zur Folge, dass das Datum so ausgegeben wird:_x000a_          05.04.2023" sqref="N15" xr:uid="{98E0665B-29A5-4462-8C7A-C6AE7F4FB618}"/>
    <dataValidation allowBlank="1" errorTitle="Achtung, fehlerhafte Eingabe!" error="Du musst schon dein richtiges Gewicht in kg eingeben! Mindestens 5 kg sind erforderlich, maximal jedoch 360 kg. " promptTitle="Wichtige Info!" prompt="Gib hier bitte dein Gewicht in kg an. Dieser Startwert dient als Berechnungsgrundlage für die programminterne Kalkulation. Dein Gewicht brauchst du nur einmal einzugeben, unter dem Button &quot;Gewichtstabelle&quot; aber täglich dein aktuelles Gewicht vermerken!" sqref="M19" xr:uid="{1971E7DE-F96F-4BAB-A123-F4A7383B8FC4}"/>
    <dataValidation type="whole" allowBlank="1" showInputMessage="1" showErrorMessage="1" errorTitle="Achtung, fehlerhafte Eingabe!" error="Von 0 bis 11 Zoll kannst du alles eingeben, in ganzen Zahlen! 12 Zoll = 1 Fuß." sqref="M10:M11" xr:uid="{E30CAFC5-3C38-4B72-8742-6273E6A40860}">
      <formula1>0</formula1>
      <formula2>11</formula2>
    </dataValidation>
    <dataValidation type="whole" allowBlank="1" showInputMessage="1" showErrorMessage="1" errorTitle="Achtung, Sabotage-Akt!" error="Finger weg von den Maß-Einheiten!" sqref="K12 M12 O12 M17 K17" xr:uid="{8CF8BCCB-5DB1-4902-BEBC-085E27FF1FB7}">
      <formula1>1.00000001001023E+38</formula1>
      <formula2>1.00000001001023E+38</formula2>
    </dataValidation>
    <dataValidation type="whole" allowBlank="1" showInputMessage="1" showErrorMessage="1" errorTitle="Achtung, Sabotage-Akt!" error="Es sind komplizierte Formeln in den grünen Bereichen hinterlegt, und somit besonders gegen irgendwelche Manipulationsversuche geschützt!_x000a_Aber danke, dass du es trotzdem versucht hast!" sqref="O10:O11 M15:M16" xr:uid="{E202BC31-6EB5-4236-BC4A-DCB7D4C0237A}">
      <formula1>1.00005013206579E+39</formula1>
      <formula2>1.00005013206579E+39</formula2>
    </dataValidation>
    <dataValidation type="whole" allowBlank="1" showInputMessage="1" showErrorMessage="1" errorTitle="Achtung, Sabotage-Akt!" error="Du darfst hier nichts notieren oder abändern!" sqref="K1:P3" xr:uid="{3158151E-F2F4-46CA-AA3C-E16F2902D890}">
      <formula1>1.00004456513213E+39</formula1>
      <formula2>1.00004456513213E+39</formula2>
    </dataValidation>
  </dataValidations>
  <pageMargins left="0.7" right="0.7" top="0.78740157499999996" bottom="0.78740157499999996" header="0.3" footer="0.3"/>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88F7-A204-4FA8-BD88-4A4E221087E2}">
  <sheetPr>
    <tabColor theme="5" tint="-0.499984740745262"/>
  </sheetPr>
  <dimension ref="A1:X64"/>
  <sheetViews>
    <sheetView topLeftCell="D8" zoomScaleNormal="100" workbookViewId="0">
      <selection activeCell="L10" sqref="L10:S11"/>
    </sheetView>
  </sheetViews>
  <sheetFormatPr baseColWidth="10" defaultRowHeight="15" x14ac:dyDescent="0.25"/>
  <cols>
    <col min="1" max="10" width="2.85546875" customWidth="1"/>
    <col min="13" max="13" width="12.7109375" customWidth="1"/>
    <col min="14" max="15" width="11.42578125" customWidth="1"/>
    <col min="19" max="19" width="11.42578125" customWidth="1"/>
  </cols>
  <sheetData>
    <row r="1" spans="1:24" x14ac:dyDescent="0.25">
      <c r="A1" s="85"/>
      <c r="B1" s="85"/>
      <c r="C1" s="85"/>
      <c r="D1" s="85"/>
      <c r="E1" s="85"/>
      <c r="F1" s="85"/>
      <c r="G1" s="85"/>
      <c r="H1" s="85"/>
      <c r="I1" s="85"/>
      <c r="J1" s="85"/>
      <c r="K1" s="83" t="str">
        <f>IF(Start!K7="English","Values",IF(Start!K7="Español","Valores","Werte"))</f>
        <v>Werte</v>
      </c>
      <c r="L1" s="232"/>
      <c r="M1" s="232"/>
      <c r="N1" s="232"/>
      <c r="O1" s="232"/>
      <c r="P1" s="232"/>
      <c r="Q1" s="85"/>
      <c r="R1" s="85"/>
    </row>
    <row r="2" spans="1:24" x14ac:dyDescent="0.25">
      <c r="A2" s="85"/>
      <c r="B2" s="85"/>
      <c r="C2" s="85"/>
      <c r="D2" s="85"/>
      <c r="E2" s="85"/>
      <c r="F2" s="85"/>
      <c r="G2" s="85"/>
      <c r="H2" s="85"/>
      <c r="I2" s="85"/>
      <c r="J2" s="85"/>
      <c r="K2" s="232"/>
      <c r="L2" s="232"/>
      <c r="M2" s="232"/>
      <c r="N2" s="232"/>
      <c r="O2" s="232"/>
      <c r="P2" s="232"/>
      <c r="Q2" s="85"/>
      <c r="R2" s="85"/>
    </row>
    <row r="3" spans="1:24" x14ac:dyDescent="0.25">
      <c r="A3" s="85"/>
      <c r="B3" s="85"/>
      <c r="C3" s="85"/>
      <c r="D3" s="85"/>
      <c r="E3" s="85"/>
      <c r="F3" s="85"/>
      <c r="G3" s="85"/>
      <c r="H3" s="85"/>
      <c r="I3" s="85"/>
      <c r="J3" s="85"/>
      <c r="K3" s="232"/>
      <c r="L3" s="232"/>
      <c r="M3" s="232"/>
      <c r="N3" s="232"/>
      <c r="O3" s="232"/>
      <c r="P3" s="232"/>
      <c r="Q3" s="85"/>
      <c r="R3" s="85"/>
    </row>
    <row r="4" spans="1:24" ht="15.75" x14ac:dyDescent="0.25">
      <c r="A4" s="237" t="str">
        <f ca="1">Start!$A$4</f>
        <v>33. Kalenderwoche</v>
      </c>
      <c r="B4" s="237"/>
      <c r="C4" s="237"/>
      <c r="D4" s="237"/>
      <c r="E4" s="237"/>
      <c r="F4" s="237"/>
      <c r="G4" s="237"/>
      <c r="H4" s="237"/>
      <c r="I4" s="237"/>
      <c r="J4" s="237"/>
      <c r="K4" s="238" t="str">
        <f>IF(Start!K7="English","Hello "&amp;'Persönliche Daten'!M14&amp;", you seem to be a bit lost here, this program section is not intended for users!",IF(Start!K7="Español","Hola "&amp;'Persönliche Daten'!M14&amp;", parece que estás un poco perdido aquí, ¡esta sección del programa no está pensada para usuarios!","Hallo "&amp;'Persönliche Daten'!M14&amp;", du hast dich hier wohl ein wenig verirrt, dieser Programmabschnitt ist nicht für Anwender gedacht!"))</f>
        <v>Hallo , du hast dich hier wohl ein wenig verirrt, dieser Programmabschnitt ist nicht für Anwender gedacht!</v>
      </c>
      <c r="L4" s="238"/>
      <c r="M4" s="238"/>
      <c r="N4" s="238"/>
      <c r="O4" s="238"/>
      <c r="P4" s="238"/>
      <c r="Q4" s="239">
        <f ca="1">Start!$Q$4</f>
        <v>45154</v>
      </c>
      <c r="R4" s="240"/>
    </row>
    <row r="5" spans="1:24" ht="15.75" x14ac:dyDescent="0.25">
      <c r="A5" s="237"/>
      <c r="B5" s="237"/>
      <c r="C5" s="237"/>
      <c r="D5" s="237"/>
      <c r="E5" s="237"/>
      <c r="F5" s="237"/>
      <c r="G5" s="237"/>
      <c r="H5" s="237"/>
      <c r="I5" s="237"/>
      <c r="J5" s="237"/>
      <c r="K5" s="238"/>
      <c r="L5" s="238"/>
      <c r="M5" s="238"/>
      <c r="N5" s="238"/>
      <c r="O5" s="238"/>
      <c r="P5" s="238"/>
      <c r="Q5" s="241" t="str">
        <f ca="1">Start!Q5</f>
        <v>19:34 Uhr</v>
      </c>
      <c r="R5" s="240"/>
    </row>
    <row r="8" spans="1:24" x14ac:dyDescent="0.25">
      <c r="B8" s="79" t="str">
        <f>IF(Start!K7="English","Start",IF(Start!K7="Español","Inicio","Start"))</f>
        <v>Start</v>
      </c>
      <c r="C8" s="79"/>
      <c r="D8" s="79"/>
      <c r="E8" s="79"/>
      <c r="F8" s="79"/>
      <c r="G8" s="79"/>
      <c r="H8" s="79"/>
      <c r="K8" s="84" t="str">
        <f>IF(Start!K7="English","Your starting weight:",IF(Start!K7="Español","Tu peso inicial:","Dein Start-Gewicht:"))</f>
        <v>Dein Start-Gewicht:</v>
      </c>
      <c r="L8" s="84"/>
      <c r="M8" s="18">
        <f>'Persönliche Daten'!M20</f>
        <v>0</v>
      </c>
      <c r="N8" t="str">
        <f>IF(Start!K7="English"," Kilogram",IF(Start!K7="Español"," Kilogramo"," Kilogramm"))</f>
        <v xml:space="preserve"> Kilogramm</v>
      </c>
      <c r="O8" s="85" t="str">
        <f>IF(Start!K7="English","Weight loss per day:",IF(Start!K7="Español","Perder peso al día:","Abnehmen pro Tag:"))</f>
        <v>Abnehmen pro Tag:</v>
      </c>
      <c r="P8" s="85"/>
      <c r="Q8" s="18">
        <f ca="1">Programmdaten!U31</f>
        <v>0</v>
      </c>
      <c r="R8" t="str">
        <f>IF(Start!K7="English"," Gram",IF(Start!K7="Español"," Gramo"," Gramm"))</f>
        <v xml:space="preserve"> Gramm</v>
      </c>
    </row>
    <row r="9" spans="1:24" x14ac:dyDescent="0.25">
      <c r="B9" s="79"/>
      <c r="C9" s="79"/>
      <c r="D9" s="79"/>
      <c r="E9" s="79"/>
      <c r="F9" s="79"/>
      <c r="G9" s="79"/>
      <c r="H9" s="79"/>
    </row>
    <row r="10" spans="1:24" x14ac:dyDescent="0.25">
      <c r="K10" s="242" t="str">
        <f>IF(Start!K7="English","Weeks",IF(Start!K7="Español","Semanas","Wochen"))</f>
        <v>Wochen</v>
      </c>
      <c r="L10" s="236" t="str">
        <f>IF(Start!K7="English","Sunday",IF(Start!K7="Español","Domingo","Sonntag"))</f>
        <v>Sonntag</v>
      </c>
      <c r="M10" s="236" t="str">
        <f>IF(Start!K7="English","Monday",IF(Start!K7="Español","Lunes","Montag"))</f>
        <v>Montag</v>
      </c>
      <c r="N10" s="236" t="str">
        <f>IF(Start!K7="English","Tuesday",IF(Start!K7="Español","Martes","Dienstag"))</f>
        <v>Dienstag</v>
      </c>
      <c r="O10" s="236" t="str">
        <f>IF(Start!K7="English","Wednesday",IF(Start!K7="Español","Miércoles","Mittwoch"))</f>
        <v>Mittwoch</v>
      </c>
      <c r="P10" s="236" t="str">
        <f>IF(Start!K7="English","Thursday",IF(Start!K7="Español","Jueves","Donnerstag"))</f>
        <v>Donnerstag</v>
      </c>
      <c r="Q10" s="236" t="str">
        <f>IF(Start!K7="English","Friday",IF(Start!K7="Español","Viernes","Freitag"))</f>
        <v>Freitag</v>
      </c>
      <c r="R10" s="236" t="str">
        <f>IF(Start!K7="English","Saturday",IF(Start!K7="Español","Sábado","Samstag"))</f>
        <v>Samstag</v>
      </c>
      <c r="S10" s="235" t="str">
        <f>IF(Start!K7="English","Average",IF(Start!K7="Español","Media","Durchschnitt"))</f>
        <v>Durchschnitt</v>
      </c>
      <c r="W10" s="235" t="str">
        <f>IF(Start!K7="English","Target weight",IF(Start!K7="Español","Peso objetivo","Soll-Gewicht"))</f>
        <v>Soll-Gewicht</v>
      </c>
      <c r="X10" s="235" t="str">
        <f>IF(Start!K7="English","Actual weight",IF(Start!K7="Español","Peso real","Aktuelles Gewicht"))</f>
        <v>Aktuelles Gewicht</v>
      </c>
    </row>
    <row r="11" spans="1:24" ht="15" customHeight="1" x14ac:dyDescent="0.25">
      <c r="A11" s="79" t="str">
        <f>IF(Start!K7="English","Personal data",IF(Start!K7="Español","Datos personales","Persönliche Daten"))</f>
        <v>Persönliche Daten</v>
      </c>
      <c r="B11" s="79"/>
      <c r="C11" s="79"/>
      <c r="D11" s="79"/>
      <c r="E11" s="79"/>
      <c r="F11" s="79"/>
      <c r="G11" s="79"/>
      <c r="H11" s="79"/>
      <c r="I11" s="79"/>
      <c r="K11" s="242"/>
      <c r="L11" s="236"/>
      <c r="M11" s="236"/>
      <c r="N11" s="236"/>
      <c r="O11" s="236"/>
      <c r="P11" s="236"/>
      <c r="Q11" s="236"/>
      <c r="R11" s="236"/>
      <c r="S11" s="235"/>
      <c r="W11" s="235"/>
      <c r="X11" s="235"/>
    </row>
    <row r="12" spans="1:24" x14ac:dyDescent="0.25">
      <c r="A12" s="79"/>
      <c r="B12" s="79"/>
      <c r="C12" s="79"/>
      <c r="D12" s="79"/>
      <c r="E12" s="79"/>
      <c r="F12" s="79"/>
      <c r="G12" s="79"/>
      <c r="H12" s="79"/>
      <c r="I12" s="79"/>
      <c r="K12" s="13"/>
      <c r="L12" s="14" t="str">
        <f ca="1">IF(WEEKDAY(NOW())=1,IF(Start!K7="English","Today",IF(Start!K7="Español","Hoy","Heute")),"")</f>
        <v/>
      </c>
      <c r="M12" s="14" t="str">
        <f ca="1">IF(WEEKDAY(NOW())=2,IF(Start!K7="English","Today",IF(Start!K7="Español","Hoy","Heute")),"")</f>
        <v/>
      </c>
      <c r="N12" s="14" t="str">
        <f ca="1">IF(WEEKDAY(NOW())=3,IF(Start!K7="English","Today",IF(Start!K7="Español","Hoy","Heute")),"")</f>
        <v/>
      </c>
      <c r="O12" s="14" t="str">
        <f ca="1">IF(WEEKDAY(NOW())=4,IF(Start!K7="English","Today",IF(Start!K7="Español","Hoy","Heute")),"")</f>
        <v>Heute</v>
      </c>
      <c r="P12" s="14" t="str">
        <f ca="1">IF(WEEKDAY(NOW())=5,IF(Start!K7="English","Today",IF(Start!K7="Español","Hoy","Heute")),"")</f>
        <v/>
      </c>
      <c r="Q12" s="14" t="str">
        <f ca="1">IF(WEEKDAY(NOW())=6,IF(Start!K7="English","Today",IF(Start!K7="Español","Hoy","Heute")),"")</f>
        <v/>
      </c>
      <c r="R12" s="14" t="str">
        <f ca="1">IF(WEEKDAY(NOW())=7,IF(Start!K7="English","Today",IF(Start!K7="Español","Hoy","Heute")),"")</f>
        <v/>
      </c>
      <c r="S12" s="30"/>
      <c r="W12" s="30"/>
      <c r="X12" s="30"/>
    </row>
    <row r="13" spans="1:24" x14ac:dyDescent="0.25">
      <c r="K13" s="47">
        <v>0</v>
      </c>
      <c r="L13" s="45">
        <f>M8</f>
        <v>0</v>
      </c>
      <c r="M13" s="45">
        <f>IF(M8='Gewichts-Ziel'!N31,L13,ROUNDDOWN(Werte!L13+1*Programmdaten!U33,2))</f>
        <v>0</v>
      </c>
      <c r="N13" s="45">
        <f ca="1">IF(Programmdaten!Y3="1 Tag",M13,IF(Programmdaten!Y3="2 Tage",L13+2*Programmdaten!U33,IF(Programmdaten!Y3="3 Tage",ROUNDDOWN(L13+2*Programmdaten!U33,2),IF(Programmdaten!Y3="4 Tage",ROUNDDOWN(L13+2*Programmdaten!U33,2),IF(Programmdaten!Y3="1 Woche",ROUNDDOWN(L13+2*Programmdaten!U33,2),IF(Programmdaten!Y3="2 Wochen",ROUNDDOWN(L13+2*Programmdaten!U33,2),IF(Programmdaten!Y3="3 Wochen",ROUNDDOWN(L13+2*Programmdaten!U33,2),IF(Programmdaten!Y3="4 Wochen",ROUNDDOWN(L13+2*Programmdaten!U33,2),IF(Programmdaten!Y3="1 Monat",ROUNDDOWN(L13+2*Programmdaten!U33,2),IF(Programmdaten!Y3="2 Monate",ROUNDDOWN(L13+2*Programmdaten!U33,2),IF(Programmdaten!Y3="3 Monate",ROUNDDOWN(L13+2*Programmdaten!U33,2),IF(Programmdaten!Y3="4 Monate",ROUNDDOWN(L13+2*Programmdaten!U33,2),IF(Programmdaten!Y3="6 Monate",ROUNDDOWN(L13+2*Programmdaten!U33,2),IF(Programmdaten!Y3="8 Monate",ROUNDDOWN(L13+2*Programmdaten!U33,2),IF(Programmdaten!Y3="9 Monate",ROUNDDOWN(L13+2*Programmdaten!U33,2),IF(Programmdaten!Y3="12 Monate",ROUNDDOWN(L13+2*Programmdaten!U33,2),"Zonk!"))))))))))))))))</f>
        <v>0</v>
      </c>
      <c r="O13" s="45">
        <f ca="1">IF(Programmdaten!Y3="1 Tag",M13,IF(Programmdaten!Y3="2 Tage",N13,IF(Programmdaten!Y3="3 Tage",ROUNDDOWN(L13+3*Programmdaten!U33,2),IF(Programmdaten!Y3="4 Tage",ROUNDDOWN(L13+3*Programmdaten!U33,2),IF(Programmdaten!Y3="1 Woche",ROUNDDOWN(L13+3*Programmdaten!U33,2),IF(Programmdaten!Y3="2 Wochen",ROUNDDOWN(L13+3*Programmdaten!U33,2),IF(Programmdaten!Y3="3 Wochen",ROUNDDOWN(L13+3*Programmdaten!U33,2),IF(Programmdaten!Y3="4 Wochen",ROUNDDOWN(L13+3*Programmdaten!U33,2),IF(Programmdaten!Y3="1 Monat",ROUNDDOWN(L13+3*Programmdaten!U33,2),IF(Programmdaten!Y3="2 Monate",ROUNDDOWN(L13+3*Programmdaten!U33,2),IF(Programmdaten!Y3="3 Monate",ROUNDDOWN(L13+3*Programmdaten!U33,2),IF(Programmdaten!Y3="4 Monate",ROUNDDOWN(L13+3*Programmdaten!U33,2),IF(Programmdaten!Y3="6 Monate",ROUNDDOWN(L13+3*Programmdaten!U33,2),IF(Programmdaten!Y3="8 Monate",ROUNDDOWN(L13+3*Programmdaten!U33,2),IF(Programmdaten!Y3="9 Monate",ROUNDDOWN(L13+3*Programmdaten!U33,2),IF(Programmdaten!Y3="12 Monate",ROUNDDOWN(L13+3*Programmdaten!U33,2),"Zonk!"))))))))))))))))</f>
        <v>0</v>
      </c>
      <c r="P13" s="45">
        <f ca="1">IF(Programmdaten!Y3="1 Tag",M13,IF(Programmdaten!Y3="2 Tage",N13,IF(Programmdaten!Y3="3 Tage",O13,IF(Programmdaten!Y3="4 Tage",ROUNDDOWN(L13+4*Programmdaten!U33,2),IF(Programmdaten!Y3="1 Woche",ROUNDDOWN(L13+4*Programmdaten!U33,2),IF(Programmdaten!Y3="2 Wochen",ROUNDDOWN(L13+4*Programmdaten!U33,2),IF(Programmdaten!Y3="3 Wochen",ROUNDDOWN(L13+4*Programmdaten!U33,2),IF(Programmdaten!Y3="4 Wochen",ROUNDDOWN(L13+4*Programmdaten!U33,2),IF(Programmdaten!Y3="1 Monat",ROUNDDOWN(L13+4*Programmdaten!U33,2),IF(Programmdaten!Y3="2 Monate",ROUNDDOWN(L13+4*Programmdaten!U33,2),IF(Programmdaten!Y3="3 Monate",ROUNDDOWN(L13+4*Programmdaten!U33,2),IF(Programmdaten!Y3="4 Monate",ROUNDDOWN(L13+4*Programmdaten!U33,2),IF(Programmdaten!Y3="6 Monate",ROUNDDOWN(L13+4*Programmdaten!U33,2),IF(Programmdaten!Y3="8 Monate",ROUNDDOWN(L13+4*Programmdaten!U33,2),IF(Programmdaten!Y3="9 Monate",ROUNDDOWN(L13+4*Programmdaten!U33,2),IF(Programmdaten!Y3="12 Monate",ROUNDDOWN(L13+4*Programmdaten!U33,2),"Zonk!"))))))))))))))))</f>
        <v>0</v>
      </c>
      <c r="Q13" s="45">
        <f ca="1">IF(Programmdaten!Y3="1 Tag",M13,IF(Programmdaten!Y3="2 Tage",N13,IF(Programmdaten!Y3="3 Tage",O13,IF(Programmdaten!Y3="4 Tage",P13,IF(Programmdaten!Y3="1 Woche",ROUNDDOWN(L13+5*Programmdaten!U33,2),IF(Programmdaten!Y3="2 Wochen",ROUNDDOWN(L13+5*Programmdaten!U33,2),IF(Programmdaten!Y3="3 Wochen",ROUNDDOWN(L13+5*Programmdaten!U33,2),IF(Programmdaten!Y3="4 Wochen",ROUNDDOWN(L13+5*Programmdaten!U33,2),IF(Programmdaten!Y3="1 Monat",ROUNDDOWN(L13+5*Programmdaten!U33,2),IF(Programmdaten!Y3="2 Monate",ROUNDDOWN(L13+5*Programmdaten!U33,2),IF(Programmdaten!Y3="3 Monate",ROUNDDOWN(L13+5*Programmdaten!U33,2),IF(Programmdaten!Y3="4 Monate",ROUNDDOWN(L13+5*Programmdaten!U33,2),IF(Programmdaten!Y3="6 Monate",ROUNDDOWN(L13+5*Programmdaten!U33,2),IF(Programmdaten!Y3="8 Monate",ROUNDDOWN(L13+5*Programmdaten!U33,2),IF(Programmdaten!Y3="9 Monate",ROUNDDOWN(L13+5*Programmdaten!U33,2),IF(Programmdaten!Y3="12 Monate",ROUNDDOWN(L13+5*Programmdaten!U33,2),"Zonk!"))))))))))))))))</f>
        <v>0</v>
      </c>
      <c r="R13" s="45">
        <f ca="1">IF(Programmdaten!Y3="1 Tag",M13,IF(Programmdaten!Y3="2 Tage",N13,IF(Programmdaten!Y3="3 Tage",O13,IF(Programmdaten!Y3="4 Tage",P13,IF(Programmdaten!Y3="1 Woche",ROUNDDOWN(L13+6*Programmdaten!U33,2),IF(Programmdaten!Y3="2 Wochen",ROUNDDOWN(L13+6*Programmdaten!U33,2),IF(Programmdaten!Y3="3 Wochen",ROUNDDOWN(L13+6*Programmdaten!U33,2),IF(Programmdaten!Y3="4 Wochen",ROUNDDOWN(L13+6*Programmdaten!U33,2),IF(Programmdaten!Y3="1 Monat",ROUNDDOWN(L13+6*Programmdaten!U33,2),IF(Programmdaten!Y3="2 Monate",ROUNDDOWN(L13+6*Programmdaten!U33,2),IF(Programmdaten!Y3="3 Monate",ROUNDDOWN(L13+6*Programmdaten!U33,2),IF(Programmdaten!Y3="4 Monate",ROUNDDOWN(L13+6*Programmdaten!U33,2),IF(Programmdaten!Y3="6 Monate",ROUNDDOWN(L13+6*Programmdaten!U33,2),IF(Programmdaten!Y3="8 Monate",ROUNDDOWN(L13+6*Programmdaten!U33,2),IF(Programmdaten!Y3="9 Monate",ROUNDDOWN(L13+6*Programmdaten!U33,2),IF(Programmdaten!Y3="12 Monate",ROUNDDOWN(L13+6*Programmdaten!U33,2),"Zonk!"))))))))))))))))</f>
        <v>0</v>
      </c>
      <c r="S13" s="44">
        <f ca="1">IFERROR(ROUNDDOWN(AVERAGE(L13:R13),2),"")</f>
        <v>0</v>
      </c>
      <c r="V13" s="68">
        <f>Programmdaten!U35+0</f>
        <v>33</v>
      </c>
      <c r="W13" s="66">
        <f ca="1">IFERROR(ROUNDUP(SUMIF(K13:K64,IF(V13-Programmdaten!U9&lt;0,V13-Programmdaten!U9+52,V13-Programmdaten!U9),S13:S64),1),"")</f>
        <v>0</v>
      </c>
      <c r="X13" s="67">
        <f>IFERROR(ROUNDDOWN(SUMIF('Gewichts-Tabelle'!K16:K67,V13,'Gewichts-Tabelle'!S16:S67),1),"")</f>
        <v>0</v>
      </c>
    </row>
    <row r="14" spans="1:24" x14ac:dyDescent="0.25">
      <c r="A14" s="79" t="str">
        <f>IF(Start!K7="English","Weight table",IF(Start!K7="Español","Tabla de pesos","Gewichtstabelle"))</f>
        <v>Gewichtstabelle</v>
      </c>
      <c r="B14" s="79"/>
      <c r="C14" s="79"/>
      <c r="D14" s="79"/>
      <c r="E14" s="79"/>
      <c r="F14" s="79"/>
      <c r="G14" s="79"/>
      <c r="H14" s="79"/>
      <c r="I14" s="79"/>
      <c r="K14" s="47">
        <v>1</v>
      </c>
      <c r="L14" s="45">
        <f ca="1">IF(Programmdaten!Y3="1 Tag",M13,IF(Programmdaten!Y3="2 Tage",N13,IF(Programmdaten!Y3="3 Tage",O13,IF(Programmdaten!Y3="4 Tage",P13,IF(Programmdaten!Y3="1 Woche",R13,IF(Programmdaten!Y3="2 Wochen",ROUNDDOWN(L13+7*Programmdaten!U33,2),IF(Programmdaten!Y3="3 Wochen",ROUNDDOWN(L13+7*Programmdaten!U33,2),IF(Programmdaten!Y3="4 Wochen",ROUNDDOWN(L13+7*Programmdaten!U33,2),IF(Programmdaten!Y3="1 Monat",ROUNDDOWN(L13+7*Programmdaten!U33,2),IF(Programmdaten!Y3="2 Monate",ROUNDDOWN(L13+7*Programmdaten!U33,2),IF(Programmdaten!Y3="3 Monate",ROUNDDOWN(L13+7*Programmdaten!U33,2),IF(Programmdaten!Y3="4 Monate",ROUNDDOWN(L13+7*Programmdaten!U33,2),IF(Programmdaten!Y3="6 Monate",ROUNDDOWN(L13+7*Programmdaten!U33,2),IF(Programmdaten!Y3="8 Monate",ROUNDDOWN(L13+7*Programmdaten!U33,2),IF(Programmdaten!Y3="9 Monate",ROUNDDOWN(L13+7*Programmdaten!U33,2),IF(Programmdaten!Y3="12 Monate",ROUNDDOWN(L13+7*Programmdaten!U33,2),"Zonk!"))))))))))))))))</f>
        <v>0</v>
      </c>
      <c r="M14" s="45">
        <f ca="1">IF(Programmdaten!Y3="1 Tag",M13,IF(Programmdaten!Y3="2 Tage",N13,IF(Programmdaten!Y3="3 Tage",O13,IF(Programmdaten!Y3="4 Tage",P13,IF(Programmdaten!Y3="1 Woche",R13,IF(Programmdaten!Y3="2 Wochen",ROUNDDOWN(L13+8*Programmdaten!U33,2),IF(Programmdaten!Y3="3 Wochen",ROUNDDOWN(L13+8*Programmdaten!U33,2),IF(Programmdaten!Y3="4 Wochen",ROUNDDOWN(L13+8*Programmdaten!U33,2),IF(Programmdaten!Y3="1 Monat",ROUNDDOWN(L13+8*Programmdaten!U33,2),IF(Programmdaten!Y3="2 Monate",ROUNDDOWN(L13+8*Programmdaten!U33,2),IF(Programmdaten!Y3="3 Monate",ROUNDDOWN(L13+8*Programmdaten!U33,2),IF(Programmdaten!Y3="4 Monate",ROUNDDOWN(L13+8*Programmdaten!U33,2),IF(Programmdaten!Y3="6 Monate",ROUNDDOWN(L13+8*Programmdaten!U33,2),IF(Programmdaten!Y3="8 Monate",ROUNDDOWN(L13+8*Programmdaten!U33,2),IF(Programmdaten!Y3="9 Monate",ROUNDDOWN(L13+8*Programmdaten!U33,2),IF(Programmdaten!Y3="12 Monate",ROUNDDOWN(L13+8*Programmdaten!U33,2),"Zonk!"))))))))))))))))</f>
        <v>0</v>
      </c>
      <c r="N14" s="45">
        <f ca="1">IF(Programmdaten!Y3="1 Tag",M13,IF(Programmdaten!Y3="2 Tage",N13,IF(Programmdaten!Y3="3 Tage",O13,IF(Programmdaten!Y3="4 Tage",P13,IF(Programmdaten!Y3="1 Woche",R13,IF(Programmdaten!Y3="2 Wochen",ROUNDDOWN(L13+9*Programmdaten!U33,2),IF(Programmdaten!Y3="3 Wochen",ROUNDDOWN(L13+9*Programmdaten!U33,2),IF(Programmdaten!Y3="4 Wochen",ROUNDDOWN(L13+9*Programmdaten!U33,2),IF(Programmdaten!Y3="1 Monat",ROUNDDOWN(L13+9*Programmdaten!U33,2),IF(Programmdaten!Y3="2 Monate",ROUNDDOWN(L13+9*Programmdaten!U33,2),IF(Programmdaten!Y3="3 Monate",ROUNDDOWN(L13+9*Programmdaten!U33,2),IF(Programmdaten!Y3="4 Monate",ROUNDDOWN(L13+9*Programmdaten!U33,2),IF(Programmdaten!Y3="6 Monate",ROUNDDOWN(L13+9*Programmdaten!U33,2),IF(Programmdaten!Y3="8 Monate",ROUNDDOWN(L13+9*Programmdaten!U33,2),IF(Programmdaten!Y3="9 Monate",ROUNDDOWN(L13+9*Programmdaten!U33,2),IF(Programmdaten!Y3="12 Monate",ROUNDDOWN(L13+9*Programmdaten!U33,2),"Zonk!"))))))))))))))))</f>
        <v>0</v>
      </c>
      <c r="O14" s="45">
        <f ca="1">IF(Programmdaten!Y3="1 Tag",M13,IF(Programmdaten!Y3="2 Tage",N13,IF(Programmdaten!Y3="3 Tage",O13,IF(Programmdaten!Y3="4 Tage",P13,IF(Programmdaten!Y3="1 Woche",R13,IF(Programmdaten!Y3="2 Wochen",ROUNDDOWN(L13+10*Programmdaten!U33,2),IF(Programmdaten!Y3="3 Wochen",ROUNDDOWN(L13+10*Programmdaten!U33,2),IF(Programmdaten!Y3="4 Wochen",ROUNDDOWN(L13+10*Programmdaten!U33,2),IF(Programmdaten!Y3="1 Monat",ROUNDDOWN(L13+10*Programmdaten!U33,2),IF(Programmdaten!Y3="2 Monate",ROUNDDOWN(L13+10*Programmdaten!U33,2),IF(Programmdaten!Y3="3 Monate",ROUNDDOWN(L13+10*Programmdaten!U33,2),IF(Programmdaten!Y3="4 Monate",ROUNDDOWN(L13+10*Programmdaten!U33,2),IF(Programmdaten!Y3="6 Monate",ROUNDDOWN(L13+10*Programmdaten!U33,2),IF(Programmdaten!Y3="8 Monate",ROUNDDOWN(L13+10*Programmdaten!U33,2),IF(Programmdaten!Y3="9 Monate",ROUNDDOWN(L13+10*Programmdaten!U33,2),IF(Programmdaten!Y3="12 Monate",ROUNDDOWN(L13+10*Programmdaten!U33,2),"Zonk!"))))))))))))))))</f>
        <v>0</v>
      </c>
      <c r="P14" s="45">
        <f ca="1">IF(Programmdaten!Y3="1 Tag",M13,IF(Programmdaten!Y3="2 Tage",N13,IF(Programmdaten!Y3="3 Tage",O13,IF(Programmdaten!Y3="4 Tage",P13,IF(Programmdaten!Y3="1 Woche",R13,IF(Programmdaten!Y3="2 Wochen",ROUNDDOWN(L13+11*Programmdaten!U33,2),IF(Programmdaten!Y3="3 Wochen",ROUNDDOWN(L13+11*Programmdaten!U33,2),IF(Programmdaten!Y3="4 Wochen",ROUNDDOWN(L13+11*Programmdaten!U33,2),IF(Programmdaten!Y3="1 Monat",ROUNDDOWN(L13+11*Programmdaten!U33,2),IF(Programmdaten!Y3="2 Monate",ROUNDDOWN(L13+11*Programmdaten!U33,2),IF(Programmdaten!Y3="3 Monate",ROUNDDOWN(L13+11*Programmdaten!U33,2),IF(Programmdaten!Y3="4 Monate",ROUNDDOWN(L13+11*Programmdaten!U33,2),IF(Programmdaten!Y3="6 Monate",ROUNDDOWN(L13+11*Programmdaten!U33,2),IF(Programmdaten!Y3="8 Monate",ROUNDDOWN(L13+11*Programmdaten!U33,2),IF(Programmdaten!Y3="9 Monate",ROUNDDOWN(L13+11*Programmdaten!U33,2),IF(Programmdaten!Y3="12 Monate",ROUNDDOWN(L13+11*Programmdaten!U33,2),"Zonk!"))))))))))))))))</f>
        <v>0</v>
      </c>
      <c r="Q14" s="45">
        <f ca="1">IF(Programmdaten!Y3="1 Tag",M13,IF(Programmdaten!Y3="2 Tage",N13,IF(Programmdaten!Y3="3 Tage",O13,IF(Programmdaten!Y3="4 Tage",P13,IF(Programmdaten!Y3="1 Woche",R13,IF(Programmdaten!Y3="2 Wochen",ROUNDDOWN(L13+12*Programmdaten!U33,2),IF(Programmdaten!Y3="3 Wochen",ROUNDDOWN(L13+12*Programmdaten!U33,2),IF(Programmdaten!Y3="4 Wochen",ROUNDDOWN(L13+12*Programmdaten!U33,2),IF(Programmdaten!Y3="1 Monat",ROUNDDOWN(L13+12*Programmdaten!U33,2),IF(Programmdaten!Y3="2 Monate",ROUNDDOWN(L13+12*Programmdaten!U33,2),IF(Programmdaten!Y3="3 Monate",ROUNDDOWN(L13+12*Programmdaten!U33,2),IF(Programmdaten!Y3="4 Monate",ROUNDDOWN(L13+12*Programmdaten!U33,2),IF(Programmdaten!Y3="6 Monate",ROUNDDOWN(L13+12*Programmdaten!U33,2),IF(Programmdaten!Y3="8 Monate",ROUNDDOWN(L13+12*Programmdaten!U33,2),IF(Programmdaten!Y3="9 Monate",ROUNDDOWN(L13+12*Programmdaten!U33,2),IF(Programmdaten!Y3="12 Monate",ROUNDDOWN(L13+12*Programmdaten!U33,2),"Zonk!"))))))))))))))))</f>
        <v>0</v>
      </c>
      <c r="R14" s="45">
        <f ca="1">IF(Programmdaten!Y3="1 Tag",M13,IF(Programmdaten!Y3="2 Tage",N13,IF(Programmdaten!Y3="3 Tage",O13,IF(Programmdaten!Y3="4 Tage",P13,IF(Programmdaten!Y3="1 Woche",R13,IF(Programmdaten!Y3="2 Wochen",ROUNDDOWN(L13+13*Programmdaten!U33,2),IF(Programmdaten!Y3="3 Wochen",ROUNDDOWN(L13+13*Programmdaten!U33,2),IF(Programmdaten!Y3="4 Wochen",ROUNDDOWN(L13+13*Programmdaten!U33,2),IF(Programmdaten!Y3="1 Monat",ROUNDDOWN(L13+13*Programmdaten!U33,2),IF(Programmdaten!Y3="2 Monate",ROUNDDOWN(L13+13*Programmdaten!U33,2),IF(Programmdaten!Y3="3 Monate",ROUNDDOWN(L13+13*Programmdaten!U33,2),IF(Programmdaten!Y3="4 Monate",ROUNDDOWN(L13+13*Programmdaten!U33,2),IF(Programmdaten!Y3="6 Monate",ROUNDDOWN(L13+13*Programmdaten!U33,2),IF(Programmdaten!Y3="8 Monate",ROUNDDOWN(L13+13*Programmdaten!U33,2),IF(Programmdaten!Y3="9 Monate",ROUNDDOWN(L13+13*Programmdaten!U33,2),IF(Programmdaten!Y3="12 Monate",ROUNDDOWN(L13+13*Programmdaten!U33,2),"Zonk!"))))))))))))))))</f>
        <v>0</v>
      </c>
      <c r="S14" s="44">
        <f t="shared" ref="S14:S64" ca="1" si="0">IFERROR(ROUNDDOWN(AVERAGE(L14:R14),2),"")</f>
        <v>0</v>
      </c>
      <c r="V14" s="68">
        <f>IF(Programmdaten!U35+1&gt;52,-52+Programmdaten!U35+1,Programmdaten!U35+1)</f>
        <v>34</v>
      </c>
      <c r="W14" s="66">
        <f ca="1">IFERROR(ROUNDUP(SUMIF(K13:K64,IF(V14-Programmdaten!U9&lt;0,V14-Programmdaten!U9+52,V14-Programmdaten!U9),S13:S64),1),"")</f>
        <v>0</v>
      </c>
      <c r="X14" s="67">
        <f>IFERROR(ROUNDDOWN(SUMIF('Gewichts-Tabelle'!K16:K67,V14,'Gewichts-Tabelle'!S16:S67),1),"")</f>
        <v>0</v>
      </c>
    </row>
    <row r="15" spans="1:24" x14ac:dyDescent="0.25">
      <c r="A15" s="79"/>
      <c r="B15" s="79"/>
      <c r="C15" s="79"/>
      <c r="D15" s="79"/>
      <c r="E15" s="79"/>
      <c r="F15" s="79"/>
      <c r="G15" s="79"/>
      <c r="H15" s="79"/>
      <c r="I15" s="79"/>
      <c r="K15" s="47">
        <v>2</v>
      </c>
      <c r="L15" s="45">
        <f ca="1">IF(Programmdaten!Y3="1 Tag",M13,IF(Programmdaten!Y3="2 Tage",N13,IF(Programmdaten!Y3="3 Tage",O13,IF(Programmdaten!Y3="4 Tage",P13,IF(Programmdaten!Y3="1 Woche",R13,IF(Programmdaten!Y3="2 Wochen",R14,IF(Programmdaten!Y3="3 Wochen",ROUNDDOWN(L13+14*Programmdaten!U33,2),IF(Programmdaten!Y3="4 Wochen",ROUNDDOWN(L13+14*Programmdaten!U33,2),IF(Programmdaten!Y3="1 Monat",ROUNDDOWN(L13+14*Programmdaten!U33,2),IF(Programmdaten!Y3="2 Monate",ROUNDDOWN(L13+14*Programmdaten!U33,2),IF(Programmdaten!Y3="3 Monate",ROUNDDOWN(L13+14*Programmdaten!U33,2),IF(Programmdaten!Y3="4 Monate",ROUNDDOWN(L13+14*Programmdaten!U33,2),IF(Programmdaten!Y3="6 Monate",ROUNDDOWN(L13+14*Programmdaten!U33,2),IF(Programmdaten!Y3="8 Monate",ROUNDDOWN(L13+14*Programmdaten!U33,2),IF(Programmdaten!Y3="9 Monate",ROUNDDOWN(L13+14*Programmdaten!U33,2),IF(Programmdaten!Y3="12 Monate",ROUNDDOWN(L13+14*Programmdaten!U33,2),"Zonk!"))))))))))))))))</f>
        <v>0</v>
      </c>
      <c r="M15" s="45">
        <f ca="1">IF(Programmdaten!Y3="1 Tag",M13,IF(Programmdaten!Y3="2 Tage",N13,IF(Programmdaten!Y3="3 Tage",O13,IF(Programmdaten!Y3="4 Tage",P13,IF(Programmdaten!Y3="1 Woche",R13,IF(Programmdaten!Y3="2 Wochen",R14,IF(Programmdaten!Y3="3 Wochen",ROUNDDOWN(L13+15*Programmdaten!U33,2),IF(Programmdaten!Y3="4 Wochen",ROUNDDOWN(L13+15*Programmdaten!U33,2),IF(Programmdaten!Y3="1 Monat",ROUNDDOWN(L13+15*Programmdaten!U33,2),IF(Programmdaten!Y3="2 Monate",ROUNDDOWN(L13+15*Programmdaten!U33,2),IF(Programmdaten!Y3="3 Monate",ROUNDDOWN(L13+15*Programmdaten!U33,2),IF(Programmdaten!Y3="4 Monate",ROUNDDOWN(L13+15*Programmdaten!U33,2),IF(Programmdaten!Y3="6 Monate",ROUNDDOWN(L13+15*Programmdaten!U33,2),IF(Programmdaten!Y3="8 Monate",ROUNDDOWN(L13+15*Programmdaten!U33,2),IF(Programmdaten!Y3="9 Monate",ROUNDDOWN(L13+15*Programmdaten!U33,2),IF(Programmdaten!Y3="12 Monate",ROUNDDOWN(L13+15*Programmdaten!U33,2),"Zonk!"))))))))))))))))</f>
        <v>0</v>
      </c>
      <c r="N15" s="45">
        <f ca="1">IF(Programmdaten!Y3="1 Tag",M13,IF(Programmdaten!Y3="2 Tage",N13,IF(Programmdaten!Y3="3 Tage",O13,IF(Programmdaten!Y3="4 Tage",P13,IF(Programmdaten!Y3="1 Woche",R13,IF(Programmdaten!Y3="2 Wochen",R14,IF(Programmdaten!Y3="3 Wochen",ROUNDDOWN(L13+16*Programmdaten!U33,2),IF(Programmdaten!Y3="4 Wochen",ROUNDDOWN(L13+16*Programmdaten!U33,2),IF(Programmdaten!Y3="1 Monat",ROUNDDOWN(L13+16*Programmdaten!U33,2),IF(Programmdaten!Y3="2 Monate",ROUNDDOWN(L13+16*Programmdaten!U33,2),IF(Programmdaten!Y3="3 Monate",ROUNDDOWN(L13+16*Programmdaten!U33,2),IF(Programmdaten!Y3="4 Monate",ROUNDDOWN(L13+16*Programmdaten!U33,2),IF(Programmdaten!Y3="6 Monate",ROUNDDOWN(L13+16*Programmdaten!U33,2),IF(Programmdaten!Y3="8 Monate",ROUNDDOWN(L13+16*Programmdaten!U33,2),IF(Programmdaten!Y3="9 Monate",ROUNDDOWN(L13+16*Programmdaten!U33,2),IF(Programmdaten!Y3="12 Monate",ROUNDDOWN(L13+16*Programmdaten!U33,2),"Zonk!"))))))))))))))))</f>
        <v>0</v>
      </c>
      <c r="O15" s="45">
        <f ca="1">IF(Programmdaten!Y3="1 Tag",M13,IF(Programmdaten!Y3="2 Tage",N13,IF(Programmdaten!Y3="3 Tage",O13,IF(Programmdaten!Y3="4 Tage",P13,IF(Programmdaten!Y3="1 Woche",R13,IF(Programmdaten!Y3="2 Wochen",R14,IF(Programmdaten!Y3="3 Wochen",ROUNDDOWN(L13+17*Programmdaten!U33,2),IF(Programmdaten!Y3="4 Wochen",ROUNDDOWN(L13+17*Programmdaten!U33,2),IF(Programmdaten!Y3="1 Monat",ROUNDDOWN(L13+17*Programmdaten!U33,2),IF(Programmdaten!Y3="2 Monate",ROUNDDOWN(L13+17*Programmdaten!U33,2),IF(Programmdaten!Y3="3 Monate",ROUNDDOWN(L13+17*Programmdaten!U33,2),IF(Programmdaten!Y3="4 Monate",ROUNDDOWN(L13+17*Programmdaten!U33,2),IF(Programmdaten!Y3="6 Monate",ROUNDDOWN(L13+17*Programmdaten!U33,2),IF(Programmdaten!Y3="8 Monate",ROUNDDOWN(L13+17*Programmdaten!U33,2),IF(Programmdaten!Y3="9 Monate",ROUNDDOWN(L13+17*Programmdaten!U33,2),IF(Programmdaten!Y3="12 Monate",ROUNDDOWN(L13+17*Programmdaten!U33,2),"Zonk!"))))))))))))))))</f>
        <v>0</v>
      </c>
      <c r="P15" s="45">
        <f ca="1">IF(Programmdaten!Y3="1 Tag",M13,IF(Programmdaten!Y3="2 Tage",N13,IF(Programmdaten!Y3="3 Tage",O13,IF(Programmdaten!Y3="4 Tage",P13,IF(Programmdaten!Y3="1 Woche",R13,IF(Programmdaten!Y3="2 Wochen",R14,IF(Programmdaten!Y3="3 Wochen",ROUNDDOWN(L13+18*Programmdaten!U33,2),IF(Programmdaten!Y3="4 Wochen",ROUNDDOWN(L13+18*Programmdaten!U33,2),IF(Programmdaten!Y3="1 Monat",ROUNDDOWN(L13+18*Programmdaten!U33,2),IF(Programmdaten!Y3="2 Monate",ROUNDDOWN(L13+18*Programmdaten!U33,2),IF(Programmdaten!Y3="3 Monate",ROUNDDOWN(L13+18*Programmdaten!U33,2),IF(Programmdaten!Y3="4 Monate",ROUNDDOWN(L13+18*Programmdaten!U33,2),IF(Programmdaten!Y3="6 Monate",ROUNDDOWN(L13+18*Programmdaten!U33,2),IF(Programmdaten!Y3="8 Monate",ROUNDDOWN(L13+18*Programmdaten!U33,2),IF(Programmdaten!Y3="9 Monate",ROUNDDOWN(L13+18*Programmdaten!U33,2),IF(Programmdaten!Y3="12 Monate",ROUNDDOWN(L13+18*Programmdaten!U33,2),"Zonk!"))))))))))))))))</f>
        <v>0</v>
      </c>
      <c r="Q15" s="45">
        <f ca="1">IF(Programmdaten!Y3="1 Tag",M13,IF(Programmdaten!Y3="2 Tage",N13,IF(Programmdaten!Y3="3 Tage",O13,IF(Programmdaten!Y3="4 Tage",P13,IF(Programmdaten!Y3="1 Woche",R13,IF(Programmdaten!Y3="2 Wochen",R14,IF(Programmdaten!Y3="3 Wochen",ROUNDDOWN(L13+19*Programmdaten!U33,2),IF(Programmdaten!Y3="4 Wochen",ROUNDDOWN(L13+19*Programmdaten!U33,2),IF(Programmdaten!Y3="1 Monat",ROUNDDOWN(L13+19*Programmdaten!U33,2),IF(Programmdaten!Y3="2 Monate",ROUNDDOWN(L13+19*Programmdaten!U33,2),IF(Programmdaten!Y3="3 Monate",ROUNDDOWN(L13+19*Programmdaten!U33,2),IF(Programmdaten!Y3="4 Monate",ROUNDDOWN(L13+19*Programmdaten!U33,2),IF(Programmdaten!Y3="6 Monate",ROUNDDOWN(L13+19*Programmdaten!U33,2),IF(Programmdaten!Y3="8 Monate",ROUNDDOWN(L13+19*Programmdaten!U33,2),IF(Programmdaten!Y3="9 Monate",ROUNDDOWN(L13+19*Programmdaten!U33,2),IF(Programmdaten!Y3="12 Monate",ROUNDDOWN(L13+19*Programmdaten!U33,2),"Zonk!"))))))))))))))))</f>
        <v>0</v>
      </c>
      <c r="R15" s="45">
        <f ca="1">IF(Programmdaten!Y3="1 Tag",M13,IF(Programmdaten!Y3="2 Tage",N13,IF(Programmdaten!Y3="3 Tage",O13,IF(Programmdaten!Y3="4 Tage",P13,IF(Programmdaten!Y3="1 Woche",R13,IF(Programmdaten!Y3="2 Wochen",R14,IF(Programmdaten!Y3="3 Wochen",ROUNDDOWN(L13+20*Programmdaten!U33,2),IF(Programmdaten!Y3="4 Wochen",ROUNDDOWN(L13+20*Programmdaten!U33,2),IF(Programmdaten!Y3="1 Monat",ROUNDDOWN(L13+20*Programmdaten!U33,2),IF(Programmdaten!Y3="2 Monate",ROUNDDOWN(L13+20*Programmdaten!U33,2),IF(Programmdaten!Y3="3 Monate",ROUNDDOWN(L13+20*Programmdaten!U33,2),IF(Programmdaten!Y3="4 Monate",ROUNDDOWN(L13+20*Programmdaten!U33,2),IF(Programmdaten!Y3="6 Monate",ROUNDDOWN(L13+20*Programmdaten!U33,2),IF(Programmdaten!Y3="8 Monate",ROUNDDOWN(L13+20*Programmdaten!U33,2),IF(Programmdaten!Y3="9 Monate",ROUNDDOWN(L13+20*Programmdaten!U33,2),IF(Programmdaten!Y3="12 Monate",ROUNDDOWN(L13+20*Programmdaten!U33,2),"Zonk!"))))))))))))))))</f>
        <v>0</v>
      </c>
      <c r="S15" s="44">
        <f t="shared" ca="1" si="0"/>
        <v>0</v>
      </c>
      <c r="V15" s="68">
        <f>IF(Programmdaten!U35+2&gt;52,-52+Programmdaten!U35+2,Programmdaten!U35+2)</f>
        <v>35</v>
      </c>
      <c r="W15" s="66">
        <f ca="1">IFERROR(ROUNDUP(SUMIF(K13:K64,IF(V15-Programmdaten!U9&lt;0,V15-Programmdaten!U9+52,V15-Programmdaten!U9),S13:S64),1),"")</f>
        <v>0</v>
      </c>
      <c r="X15" s="67">
        <f>IFERROR(ROUNDDOWN(SUMIF('Gewichts-Tabelle'!K16:K67,V15,'Gewichts-Tabelle'!S16:S67),1),"")</f>
        <v>0</v>
      </c>
    </row>
    <row r="16" spans="1:24" x14ac:dyDescent="0.25">
      <c r="K16" s="47">
        <v>3</v>
      </c>
      <c r="L16" s="45">
        <f ca="1">IF(Programmdaten!Y3="1 Tag",M13,IF(Programmdaten!Y3="2 Tage",N13,IF(Programmdaten!Y3="3 Tage",O13,IF(Programmdaten!Y3="4 Tage",P13,IF(Programmdaten!Y3="1 Woche",R13,IF(Programmdaten!Y3="2 Wochen",R14,IF(Programmdaten!Y3="3 Wochen",R15,IF(Programmdaten!Y3="4 Wochen",ROUNDDOWN(L13+21*Programmdaten!U33,2),IF(Programmdaten!Y3="1 Monat",ROUNDDOWN(L13+21*Programmdaten!U33,2),IF(Programmdaten!Y3="2 Monate",ROUNDDOWN(L13+21*Programmdaten!U33,2),IF(Programmdaten!Y3="3 Monate",ROUNDDOWN(L13+21*Programmdaten!U33,2),IF(Programmdaten!Y3="4 Monate",ROUNDDOWN(L13+21*Programmdaten!U33,2),IF(Programmdaten!Y3="6 Monate",ROUNDDOWN(L13+21*Programmdaten!U33,2),IF(Programmdaten!Y3="8 Monate",ROUNDDOWN(L13+21*Programmdaten!U33,2),IF(Programmdaten!Y3="9 Monate",ROUNDDOWN(L13+21*Programmdaten!U33,2),IF(Programmdaten!Y3="12 Monate",ROUNDDOWN(L13+21*Programmdaten!U33,2),"Zonk!"))))))))))))))))</f>
        <v>0</v>
      </c>
      <c r="M16" s="45">
        <f ca="1">IF(Programmdaten!Y3="1 Tag",M13,IF(Programmdaten!Y3="2 Tage",N13,IF(Programmdaten!Y3="3 Tage",O13,IF(Programmdaten!Y3="4 Tage",P13,IF(Programmdaten!Y3="1 Woche",R13,IF(Programmdaten!Y3="2 Wochen",R14,IF(Programmdaten!Y3="3 Wochen",R15,IF(Programmdaten!Y3="4 Wochen",ROUNDDOWN(L13+22*Programmdaten!U33,2),IF(Programmdaten!Y3="1 Monat",ROUNDDOWN(L13+22*Programmdaten!U33,2),IF(Programmdaten!Y3="2 Monate",ROUNDDOWN(L13+22*Programmdaten!U33,2),IF(Programmdaten!Y3="3 Monate",ROUNDDOWN(L13+22*Programmdaten!U33,2),IF(Programmdaten!Y3="4 Monate",ROUNDDOWN(L13+22*Programmdaten!U33,2),IF(Programmdaten!Y3="6 Monate",ROUNDDOWN(L13+22*Programmdaten!U33,2),IF(Programmdaten!Y3="8 Monate",ROUNDDOWN(L13+22*Programmdaten!U33,2),IF(Programmdaten!Y3="9 Monate",ROUNDDOWN(L13+22*Programmdaten!U33,2),IF(Programmdaten!Y3="12 Monate",ROUNDDOWN(L13+22*Programmdaten!U33,2),"Zonk!"))))))))))))))))</f>
        <v>0</v>
      </c>
      <c r="N16" s="45">
        <f ca="1">IF(Programmdaten!Y3="1 Tag",M13,IF(Programmdaten!Y3="2 Tage",N13,IF(Programmdaten!Y3="3 Tage",O13,IF(Programmdaten!Y3="4 Tage",P13,IF(Programmdaten!Y3="1 Woche",R13,IF(Programmdaten!Y3="2 Wochen",R14,IF(Programmdaten!Y3="3 Wochen",R15,IF(Programmdaten!Y3="4 Wochen",ROUNDDOWN(L13+23*Programmdaten!U33,2),IF(Programmdaten!Y3="1 Monat",ROUNDDOWN(L13+23*Programmdaten!U33,2),IF(Programmdaten!Y3="2 Monate",ROUNDDOWN(L13+23*Programmdaten!U33,2),IF(Programmdaten!Y3="3 Monate",ROUNDDOWN(L13+23*Programmdaten!U33,2),IF(Programmdaten!Y3="4 Monate",ROUNDDOWN(L13+23*Programmdaten!U33,2),IF(Programmdaten!Y3="6 Monate",ROUNDDOWN(L13+23*Programmdaten!U33,2),IF(Programmdaten!Y3="8 Monate",ROUNDDOWN(L13+23*Programmdaten!U33,2),IF(Programmdaten!Y3="9 Monate",ROUNDDOWN(L13+23*Programmdaten!U33,2),IF(Programmdaten!Y3="12 Monate",ROUNDDOWN(L13+23*Programmdaten!U33,2),"Zonk!"))))))))))))))))</f>
        <v>0</v>
      </c>
      <c r="O16" s="45">
        <f ca="1">IF(Programmdaten!Y3="1 Tag",M13,IF(Programmdaten!Y3="2 Tage",N13,IF(Programmdaten!Y3="3 Tage",O13,IF(Programmdaten!Y3="4 Tage",P13,IF(Programmdaten!Y3="1 Woche",R13,IF(Programmdaten!Y3="2 Wochen",R14,IF(Programmdaten!Y3="3 Wochen",R15,IF(Programmdaten!Y3="4 Wochen",ROUNDDOWN(L13+24*Programmdaten!U33,2),IF(Programmdaten!Y3="1 Monat",ROUNDDOWN(L13+24*Programmdaten!U33,2),IF(Programmdaten!Y3="2 Monate",ROUNDDOWN(L13+24*Programmdaten!U33,2),IF(Programmdaten!Y3="3 Monate",ROUNDDOWN(L13+24*Programmdaten!U33,2),IF(Programmdaten!Y3="4 Monate",ROUNDDOWN(L13+24*Programmdaten!U33,2),IF(Programmdaten!Y3="6 Monate",ROUNDDOWN(L13+24*Programmdaten!U33,2),IF(Programmdaten!Y3="8 Monate",ROUNDDOWN(L13+24*Programmdaten!U33,2),IF(Programmdaten!Y3="9 Monate",ROUNDDOWN(L13+24*Programmdaten!U33,2),IF(Programmdaten!Y3="12 Monate",ROUNDDOWN(L13+24*Programmdaten!U33,2),"Zonk!"))))))))))))))))</f>
        <v>0</v>
      </c>
      <c r="P16" s="45">
        <f ca="1">IF(Programmdaten!Y3="1 Tag",M13,IF(Programmdaten!Y3="2 Tage",N13,IF(Programmdaten!Y3="3 Tage",O13,IF(Programmdaten!Y3="4 Tage",P13,IF(Programmdaten!Y3="1 Woche",R13,IF(Programmdaten!Y3="2 Wochen",R14,IF(Programmdaten!Y3="3 Wochen",R15,IF(Programmdaten!Y3="4 Wochen",ROUNDDOWN(L13+25*Programmdaten!U33,2),IF(Programmdaten!Y3="1 Monat",ROUNDDOWN(L13+25*Programmdaten!U33,2),IF(Programmdaten!Y3="2 Monate",ROUNDDOWN(L13+25*Programmdaten!U33,2),IF(Programmdaten!Y3="3 Monate",ROUNDDOWN(L13+25*Programmdaten!U33,2),IF(Programmdaten!Y3="4 Monate",ROUNDDOWN(L13+25*Programmdaten!U33,2),IF(Programmdaten!Y3="6 Monate",ROUNDDOWN(L13+25*Programmdaten!U33,2),IF(Programmdaten!Y3="8 Monate",ROUNDDOWN(L13+25*Programmdaten!U33,2),IF(Programmdaten!Y3="9 Monate",ROUNDDOWN(L13+25*Programmdaten!U33,2),IF(Programmdaten!Y3="12 Monate",ROUNDDOWN(L13+25*Programmdaten!U33,2),"Zonk!"))))))))))))))))</f>
        <v>0</v>
      </c>
      <c r="Q16" s="45">
        <f ca="1">IF(Programmdaten!Y3="1 Tag",M13,IF(Programmdaten!Y3="2 Tage",N13,IF(Programmdaten!Y3="3 Tage",O13,IF(Programmdaten!Y3="4 Tage",P13,IF(Programmdaten!Y3="1 Woche",R13,IF(Programmdaten!Y3="2 Wochen",R14,IF(Programmdaten!Y3="3 Wochen",R15,IF(Programmdaten!Y3="4 Wochen",ROUNDDOWN(L13+26*Programmdaten!U33,2),IF(Programmdaten!Y3="1 Monat",ROUNDDOWN(L13+26*Programmdaten!U33,2),IF(Programmdaten!Y3="2 Monate",ROUNDDOWN(L13+26*Programmdaten!U33,2),IF(Programmdaten!Y3="3 Monate",ROUNDDOWN(L13+26*Programmdaten!U33,2),IF(Programmdaten!Y3="4 Monate",ROUNDDOWN(L13+26*Programmdaten!U33,2),IF(Programmdaten!Y3="6 Monate",ROUNDDOWN(L13+26*Programmdaten!U33,2),IF(Programmdaten!Y3="8 Monate",ROUNDDOWN(L13+26*Programmdaten!U33,2),IF(Programmdaten!Y3="9 Monate",ROUNDDOWN(L13+26*Programmdaten!U33,2),IF(Programmdaten!Y3="12 Monate",ROUNDDOWN(L13+26*Programmdaten!U33,2),"Zonk!"))))))))))))))))</f>
        <v>0</v>
      </c>
      <c r="R16" s="45">
        <f ca="1">IF(Programmdaten!Y3="1 Tag",M13,IF(Programmdaten!Y3="2 Tage",N13,IF(Programmdaten!Y3="3 Tage",O13,IF(Programmdaten!Y3="4 Tage",P13,IF(Programmdaten!Y3="1 Woche",R13,IF(Programmdaten!Y3="2 Wochen",R14,IF(Programmdaten!Y3="3 Wochen",R15,IF(Programmdaten!Y3="4 Wochen",ROUNDDOWN(L13+27*Programmdaten!U33,2),IF(Programmdaten!Y3="1 Monat",ROUNDDOWN(L13+27*Programmdaten!U33,2),IF(Programmdaten!Y3="2 Monate",ROUNDDOWN(L13+27*Programmdaten!U33,2),IF(Programmdaten!Y3="3 Monate",ROUNDDOWN(L13+27*Programmdaten!U33,2),IF(Programmdaten!Y3="4 Monate",ROUNDDOWN(L13+27*Programmdaten!U33,2),IF(Programmdaten!Y3="6 Monate",ROUNDDOWN(L13+27*Programmdaten!U33,2),IF(Programmdaten!Y3="8 Monate",ROUNDDOWN(L13+27*Programmdaten!U33,2),IF(Programmdaten!Y3="9 Monate",ROUNDDOWN(L13+27*Programmdaten!U33,2),IF(Programmdaten!Y3="12 Monate",ROUNDDOWN(L13+27*Programmdaten!U33,2),"Zonk!"))))))))))))))))</f>
        <v>0</v>
      </c>
      <c r="S16" s="44">
        <f t="shared" ca="1" si="0"/>
        <v>0</v>
      </c>
      <c r="V16" s="68">
        <f>IF(Programmdaten!U35+3&gt;52,-52+Programmdaten!U35+3,Programmdaten!U35+3)</f>
        <v>36</v>
      </c>
      <c r="W16" s="66">
        <f ca="1">IFERROR(ROUNDUP(SUMIF(K13:K64,IF(V16-Programmdaten!U9&lt;0,V16-Programmdaten!U9+52,V16-Programmdaten!U9),S13:S64),1),"")</f>
        <v>0</v>
      </c>
      <c r="X16" s="67">
        <f>IFERROR(ROUNDDOWN(SUMIF('Gewichts-Tabelle'!K16:K67,V16,'Gewichts-Tabelle'!S16:S67),1),"")</f>
        <v>0</v>
      </c>
    </row>
    <row r="17" spans="1:24" x14ac:dyDescent="0.25">
      <c r="A17" s="79" t="str">
        <f>IF(Start!K7="English","Weight target",IF(Start!K7="Español","Objetivo de peso","Gewichts-Ziel"))</f>
        <v>Gewichts-Ziel</v>
      </c>
      <c r="B17" s="79"/>
      <c r="C17" s="79"/>
      <c r="D17" s="79"/>
      <c r="E17" s="79"/>
      <c r="F17" s="79"/>
      <c r="G17" s="79"/>
      <c r="H17" s="79"/>
      <c r="I17" s="79"/>
      <c r="K17" s="47">
        <v>4</v>
      </c>
      <c r="L17" s="45">
        <f ca="1">IF(Programmdaten!Y3="1 Tag",M13,IF(Programmdaten!Y3="2 Tage",N13,IF(Programmdaten!Y3="3 Tage",O13,IF(Programmdaten!Y3="4 Tage",P13,IF(Programmdaten!Y3="1 Woche",R13,IF(Programmdaten!Y3="2 Wochen",R14,IF(Programmdaten!Y3="3 Wochen",R15,IF(Programmdaten!Y3="4 Wochen",R16,IF(Programmdaten!Y3="1 Monat",ROUNDDOWN(L13+28*Programmdaten!U33,2),IF(Programmdaten!Y3="2 Monate",ROUNDDOWN(L13+28*Programmdaten!U33,2),IF(Programmdaten!Y3="3 Monate",ROUNDDOWN(L13+28*Programmdaten!U33,2),IF(Programmdaten!Y3="4 Monate",ROUNDDOWN(L13+28*Programmdaten!U33,2),IF(Programmdaten!Y3="6 Monate",ROUNDDOWN(L13+28*Programmdaten!U33,2),IF(Programmdaten!Y3="8 Monate",ROUNDDOWN(L13+28*Programmdaten!U33,2),IF(Programmdaten!Y3="9 Monate",ROUNDDOWN(L13+28*Programmdaten!U33,2),IF(Programmdaten!Y3="12 Monate",ROUNDDOWN(L13+28*Programmdaten!U33,2),"Zonk!"))))))))))))))))</f>
        <v>0</v>
      </c>
      <c r="M17" s="45">
        <f ca="1">IF(Programmdaten!Y3="1 Tag",M13,IF(Programmdaten!Y3="2 Tage",N13,IF(Programmdaten!Y3="3 Tage",O13,IF(Programmdaten!Y3="4 Tage",P13,IF(Programmdaten!Y3="1 Woche",R13,IF(Programmdaten!Y3="2 Wochen",R14,IF(Programmdaten!Y3="3 Wochen",R15,IF(Programmdaten!Y3="4 Wochen",R16,IF(Programmdaten!Y3="1 Monat",ROUNDDOWN(L13+29*Programmdaten!U33,2),IF(Programmdaten!Y3="2 Monate",ROUNDDOWN(L13+29*Programmdaten!U33,2),IF(Programmdaten!Y3="3 Monate",ROUNDDOWN(L13+29*Programmdaten!U33,2),IF(Programmdaten!Y3="4 Monate",ROUNDDOWN(L13+29*Programmdaten!U33,2),IF(Programmdaten!Y3="6 Monate",ROUNDDOWN(L13+29*Programmdaten!U33,2),IF(Programmdaten!Y3="8 Monate",ROUNDDOWN(L13+29*Programmdaten!U33,2),IF(Programmdaten!Y3="9 Monate",ROUNDDOWN(L13+29*Programmdaten!U33,2),IF(Programmdaten!Y3="12 Monate",ROUNDDOWN(L13+29*Programmdaten!U33,2),"Zonk!"))))))))))))))))</f>
        <v>0</v>
      </c>
      <c r="N17" s="45">
        <f ca="1">IF(Programmdaten!Y3="1 Tag",M13,IF(Programmdaten!Y3="2 Tage",N13,IF(Programmdaten!Y3="3 Tage",O13,IF(Programmdaten!Y3="4 Tage",P13,IF(Programmdaten!Y3="1 Woche",R13,IF(Programmdaten!Y3="2 Wochen",R14,IF(Programmdaten!Y3="3 Wochen",R15,IF(Programmdaten!Y3="4 Wochen",R16,IF(Programmdaten!Y3="1 Monat",ROUNDDOWN(L13+30*Programmdaten!U33,2),IF(Programmdaten!Y3="2 Monate",ROUNDDOWN(L13+30*Programmdaten!U33,2),IF(Programmdaten!Y3="3 Monate",ROUNDDOWN(L13+30*Programmdaten!U33,2),IF(Programmdaten!Y3="4 Monate",ROUNDDOWN(L13+30*Programmdaten!U33,2),IF(Programmdaten!Y3="6 Monate",ROUNDDOWN(L13+30*Programmdaten!U33,2),IF(Programmdaten!Y3="8 Monate",ROUNDDOWN(L13+30*Programmdaten!U33,2),IF(Programmdaten!Y3="9 Monate",ROUNDDOWN(L13+30*Programmdaten!U33,2),IF(Programmdaten!Y3="12 Monate",ROUNDDOWN(L13+30*Programmdaten!U33,2),"Zonk!"))))))))))))))))</f>
        <v>0</v>
      </c>
      <c r="O17"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Monate",ROUNDDOWN(L13+31*Programmdaten!U33,2),IF(Programmdaten!Y3="3 Monate",ROUNDDOWN(L13+31*Programmdaten!U33,2),IF(Programmdaten!Y3="4 Monate",ROUNDDOWN(L13+31*Programmdaten!U33,2),IF(Programmdaten!Y3="6 Monate",ROUNDDOWN(L13+31*Programmdaten!U33,2),IF(Programmdaten!Y3="8 Monate",ROUNDDOWN(L13+31*Programmdaten!U33,2),IF(Programmdaten!Y3="9 Monate",ROUNDDOWN(L13+31*Programmdaten!U33,2),IF(Programmdaten!Y3="12 Monate",ROUNDDOWN(L13+31*Programmdaten!U33,2),"Zonk!"))))))))))))))))</f>
        <v>0</v>
      </c>
      <c r="P17"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Monate",ROUNDDOWN(L13+32*Programmdaten!U33,2),IF(Programmdaten!Y3="3 Monate",ROUNDDOWN(L13+32*Programmdaten!U33,2),IF(Programmdaten!Y3="4 Monate",ROUNDDOWN(L13+32*Programmdaten!U33,2),IF(Programmdaten!Y3="6 Monate",ROUNDDOWN(L13+32*Programmdaten!U33,2),IF(Programmdaten!Y3="8 Monate",ROUNDDOWN(L13+32*Programmdaten!U33,2),IF(Programmdaten!Y3="9 Monate",ROUNDDOWN(L13+32*Programmdaten!U33,2),IF(Programmdaten!Y3="12 Monate",ROUNDDOWN(L13+32*Programmdaten!U33,2),"Zonk!"))))))))))))))))</f>
        <v>0</v>
      </c>
      <c r="Q17"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Monate",ROUNDDOWN(L13+33*Programmdaten!U33,2),IF(Programmdaten!Y3="3 Monate",ROUNDDOWN(L13+33*Programmdaten!U33,2),IF(Programmdaten!Y3="4 Monate",ROUNDDOWN(L13+33*Programmdaten!U33,2),IF(Programmdaten!Y3="6 Monate",ROUNDDOWN(L13+33*Programmdaten!U33,2),IF(Programmdaten!Y3="8 Monate",ROUNDDOWN(L13+33*Programmdaten!U33,2),IF(Programmdaten!Y3="9 Monate",ROUNDDOWN(L13+33*Programmdaten!U33,2),IF(Programmdaten!Y3="12 Monate",ROUNDDOWN(L13+33*Programmdaten!U33,2),"Zonk!"))))))))))))))))</f>
        <v>0</v>
      </c>
      <c r="R17"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Monate",ROUNDDOWN(L13+34*Programmdaten!U33,2),IF(Programmdaten!Y3="3 Monate",ROUNDDOWN(L13+34*Programmdaten!U33,2),IF(Programmdaten!Y3="4 Monate",ROUNDDOWN(L13+34*Programmdaten!U33,2),IF(Programmdaten!Y3="4 Monate",ROUNDDOWN(L13+34*Programmdaten!U33,2),IF(Programmdaten!Y3="6 Monate",ROUNDDOWN(L13+34*Programmdaten!U33,2),IF(Programmdaten!Y3="8 Monate",ROUNDDOWN(L13+34*Programmdaten!U33,2),IF(Programmdaten!Y3="9 Monate",ROUNDDOWN(L13+34*Programmdaten!U33,2),IF(Programmdaten!Y3="12 Monate",ROUNDDOWN(L13+34*Programmdaten!U33,2),"Zonk!")))))))))))))))))</f>
        <v>0</v>
      </c>
      <c r="S17" s="44">
        <f t="shared" ca="1" si="0"/>
        <v>0</v>
      </c>
      <c r="V17" s="68">
        <f>IF(Programmdaten!U35+4&gt;52,-52+Programmdaten!U35+4,Programmdaten!U35+4)</f>
        <v>37</v>
      </c>
      <c r="W17" s="66">
        <f ca="1">IFERROR(ROUNDUP(SUMIF(K13:K64,IF(V17-Programmdaten!U9&lt;0,V17-Programmdaten!U9+52,V17-Programmdaten!U9),S13:S64),1),"")</f>
        <v>0</v>
      </c>
      <c r="X17" s="67">
        <f>IFERROR(ROUNDDOWN(SUMIF('Gewichts-Tabelle'!K16:K67,V17,'Gewichts-Tabelle'!S16:S67),1),"")</f>
        <v>0</v>
      </c>
    </row>
    <row r="18" spans="1:24" x14ac:dyDescent="0.25">
      <c r="A18" s="79"/>
      <c r="B18" s="79"/>
      <c r="C18" s="79"/>
      <c r="D18" s="79"/>
      <c r="E18" s="79"/>
      <c r="F18" s="79"/>
      <c r="G18" s="79"/>
      <c r="H18" s="79"/>
      <c r="I18" s="79"/>
      <c r="K18" s="47">
        <v>5</v>
      </c>
      <c r="L18"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Monate",ROUNDDOWN(L13+35*Programmdaten!U33,2),IF(Programmdaten!Y3="3 Monate",ROUNDDOWN(L13+35*Programmdaten!U33,2),IF(Programmdaten!Y3="4 Monate",ROUNDDOWN(L13+35*Programmdaten!U33,2),IF(Programmdaten!Y3="6 Monate",ROUNDDOWN(L13+35*Programmdaten!U33,2),IF(Programmdaten!Y3="8 Monate",ROUNDDOWN(L13+35*Programmdaten!U33,2),IF(Programmdaten!Y3="9 Monate",ROUNDDOWN(L13+35*Programmdaten!U33,2),IF(Programmdaten!Y3="12 Monate",ROUNDDOWN(L13+35*Programmdaten!U33,2),"Zonk!"))))))))))))))))</f>
        <v>0</v>
      </c>
      <c r="M18"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Monate",ROUNDDOWN(L13+36*Programmdaten!U33,2),IF(Programmdaten!Y3="3 Monate",ROUNDDOWN(L13+36*Programmdaten!U33,2),IF(Programmdaten!Y3="4 Monate",ROUNDDOWN(L13+36*Programmdaten!U33,2),IF(Programmdaten!Y3="6 Monate",ROUNDDOWN(L13+36*Programmdaten!U33,2),IF(Programmdaten!Y3="8 Monate",ROUNDDOWN(L13+36*Programmdaten!U33,2),IF(Programmdaten!Y3="9 Monate",ROUNDDOWN(L13+36*Programmdaten!U33,2),IF(Programmdaten!Y3="12 Monate",ROUNDDOWN(L13+36*Programmdaten!U33,2),"Zonk!"))))))))))))))))</f>
        <v>0</v>
      </c>
      <c r="N18"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Monate",ROUNDDOWN(L13+37*Programmdaten!U33,2),IF(Programmdaten!Y3="3 Monate",ROUNDDOWN(L13+37*Programmdaten!U33,2),IF(Programmdaten!Y3="4 Monate",ROUNDDOWN(L13+37*Programmdaten!U33,2),IF(Programmdaten!Y3="6 Monate",ROUNDDOWN(L13+37*Programmdaten!U33,2),IF(Programmdaten!Y3="8 Monate",ROUNDDOWN(L13+37*Programmdaten!U33,2),IF(Programmdaten!Y3="9 Monate",ROUNDDOWN(L13+37*Programmdaten!U33,2),IF(Programmdaten!Y3="12 Monate",ROUNDDOWN(L13+37*Programmdaten!U33,2),"Zonk!"))))))))))))))))</f>
        <v>0</v>
      </c>
      <c r="O18"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Monate",ROUNDDOWN(L13+38*Programmdaten!U33,2),IF(Programmdaten!Y3="3 Monate",ROUNDDOWN(L13+38*Programmdaten!U33,2),IF(Programmdaten!Y3="4 Monate",ROUNDDOWN(L13+38*Programmdaten!U33,2),IF(Programmdaten!Y3="6 Monate",ROUNDDOWN(L13+38*Programmdaten!U33,2),IF(Programmdaten!Y3="8 Monate",ROUNDDOWN(L13+38*Programmdaten!U33,2),IF(Programmdaten!Y3="9 Monate",ROUNDDOWN(L13+38*Programmdaten!U33,2),IF(Programmdaten!Y3="12 Monate",ROUNDDOWN(L13+38*Programmdaten!U33,2),"Zonk!"))))))))))))))))</f>
        <v>0</v>
      </c>
      <c r="P18"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Monate",ROUNDDOWN(L13+39*Programmdaten!U33,2),IF(Programmdaten!Y3="3 Monate",ROUNDDOWN(L13+39*Programmdaten!U33,2),IF(Programmdaten!Y3="4 Monate",ROUNDDOWN(L13+39*Programmdaten!U33,2),IF(Programmdaten!Y3="6 Monate",ROUNDDOWN(L13+39*Programmdaten!U33,2),IF(Programmdaten!Y3="8 Monate",ROUNDDOWN(L13+39*Programmdaten!U33,2),IF(Programmdaten!Y3="9 Monate",ROUNDDOWN(L13+39*Programmdaten!U33,2),IF(Programmdaten!Y3="12 Monate",ROUNDDOWN(L13+39*Programmdaten!U33,2),"Zonk!"))))))))))))))))</f>
        <v>0</v>
      </c>
      <c r="Q18"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Monate",ROUNDDOWN(L13+40*Programmdaten!U33,2),IF(Programmdaten!Y3="3 Monate",ROUNDDOWN(L13+40*Programmdaten!U33,2),IF(Programmdaten!Y3="4 Monate",ROUNDDOWN(L13+40*Programmdaten!U33,2),IF(Programmdaten!Y3="6 Monate",ROUNDDOWN(L13+40*Programmdaten!U33,2),IF(Programmdaten!Y3="8 Monate",ROUNDDOWN(L13+40*Programmdaten!U33,2),IF(Programmdaten!Y3="9 Monate",ROUNDDOWN(L13+40*Programmdaten!U33,2),IF(Programmdaten!Y3="12 Monate",ROUNDDOWN(L13+40*Programmdaten!U33,2),"Zonk!"))))))))))))))))</f>
        <v>0</v>
      </c>
      <c r="R18"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Monate",ROUNDDOWN(L13+41*Programmdaten!U33,2),IF(Programmdaten!Y3="3 Monate",ROUNDDOWN(L13+41*Programmdaten!U33,2),IF(Programmdaten!Y3="4 Monate",ROUNDDOWN(L13+41*Programmdaten!U33,2),IF(Programmdaten!Y3="6 Monate",ROUNDDOWN(L13+41*Programmdaten!U33,2),IF(Programmdaten!Y3="8 Monate",ROUNDDOWN(L13+41*Programmdaten!U33,2),IF(Programmdaten!Y3="9 Monate",ROUNDDOWN(L13+41*Programmdaten!U33,2),IF(Programmdaten!Y3="12 Monate",ROUNDDOWN(L13+41*Programmdaten!U33,2),"Zonk!"))))))))))))))))</f>
        <v>0</v>
      </c>
      <c r="S18" s="44">
        <f t="shared" ca="1" si="0"/>
        <v>0</v>
      </c>
      <c r="V18" s="68">
        <f>IF(Programmdaten!U35+5&gt;52,-52+Programmdaten!U35+5,Programmdaten!U35+5)</f>
        <v>38</v>
      </c>
      <c r="W18" s="66">
        <f ca="1">IFERROR(ROUNDUP(SUMIF(K13:K64,IF(V18-Programmdaten!U9&lt;0,V18-Programmdaten!U9+52,V18-Programmdaten!U9),S13:S64),1),"")</f>
        <v>0</v>
      </c>
      <c r="X18" s="67">
        <f>IFERROR(ROUNDDOWN(SUMIF('Gewichts-Tabelle'!K16:K67,V18,'Gewichts-Tabelle'!S16:S67),1),"")</f>
        <v>0</v>
      </c>
    </row>
    <row r="19" spans="1:24" x14ac:dyDescent="0.25">
      <c r="K19" s="47">
        <v>6</v>
      </c>
      <c r="L19"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Monate",ROUNDDOWN(L13+42*Programmdaten!U33,2),IF(Programmdaten!Y3="3 Monate",ROUNDDOWN(L13+42*Programmdaten!U33,2),IF(Programmdaten!Y3="4 Monate",ROUNDDOWN(L13+42*Programmdaten!U33,2),IF(Programmdaten!Y3="6 Monate",ROUNDDOWN(L13+42*Programmdaten!U33,2),IF(Programmdaten!Y3="8 Monate",ROUNDDOWN(L13+42*Programmdaten!U33,2),IF(Programmdaten!Y3="9 Monate",ROUNDDOWN(L13+42*Programmdaten!U33,2),IF(Programmdaten!Y3="12 Monate",ROUNDDOWN(L13+42*Programmdaten!U33,2),"Zonk!"))))))))))))))))</f>
        <v>0</v>
      </c>
      <c r="M19"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Monate",ROUNDDOWN(L13+43*Programmdaten!U33,2),IF(Programmdaten!Y3="3 Monate",ROUNDDOWN(L13+43*Programmdaten!U33,2),IF(Programmdaten!Y3="4 Monate",ROUNDDOWN(L13+43*Programmdaten!U33,2),IF(Programmdaten!Y3="6 Monate",ROUNDDOWN(L13+43*Programmdaten!U33,2),IF(Programmdaten!Y3="8 Monate",ROUNDDOWN(L13+43*Programmdaten!U33,2),IF(Programmdaten!Y3="9 Monate",ROUNDDOWN(L13+43*Programmdaten!U33,2),IF(Programmdaten!Y3="12 Monate",ROUNDDOWN(L13+43*Programmdaten!U33,2),"Zonk!"))))))))))))))))</f>
        <v>0</v>
      </c>
      <c r="N19"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Monate",ROUNDDOWN(L13+44*Programmdaten!U33,2),IF(Programmdaten!Y3="3 Monate",ROUNDDOWN(L13+44*Programmdaten!U33,2),IF(Programmdaten!Y3="4 Monate",ROUNDDOWN(L13+44*Programmdaten!U33,2),IF(Programmdaten!Y3="6 Monate",ROUNDDOWN(L13+44*Programmdaten!U33,2),IF(Programmdaten!Y3="8 Monate",ROUNDDOWN(L13+44*Programmdaten!U33,2),IF(Programmdaten!Y3="9 Monate",ROUNDDOWN(L13+44*Programmdaten!U33,2),IF(Programmdaten!Y3="12 Monate",ROUNDDOWN(L13+44*Programmdaten!U33,2),"Zonk!"))))))))))))))))</f>
        <v>0</v>
      </c>
      <c r="O19"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Monate",ROUNDDOWN(L13+45*Programmdaten!U33,2),IF(Programmdaten!Y3="3 Monate",ROUNDDOWN(L13+45*Programmdaten!U33,2),IF(Programmdaten!Y3="4 Monate",ROUNDDOWN(L13+45*Programmdaten!U33,2),IF(Programmdaten!Y3="6 Monate",ROUNDDOWN(L13+45*Programmdaten!U33,2),IF(Programmdaten!Y3="8 Monate",ROUNDDOWN(L13+45*Programmdaten!U33,2),IF(Programmdaten!Y3="9 Monate",ROUNDDOWN(L13+45*Programmdaten!U33,2),IF(Programmdaten!Y3="12 Monate",ROUNDDOWN(L13+45*Programmdaten!U33,2),"Zonk!"))))))))))))))))</f>
        <v>0</v>
      </c>
      <c r="P19"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Monate",ROUNDDOWN(L13+46*Programmdaten!U33,2),IF(Programmdaten!Y3="3 Monate",ROUNDDOWN(L13+46*Programmdaten!U33,2),IF(Programmdaten!Y3="4 Monate",ROUNDDOWN(L13+46*Programmdaten!U33,2),IF(Programmdaten!Y3="6 Monate",ROUNDDOWN(L13+46*Programmdaten!U33,2),IF(Programmdaten!Y3="8 Monate",ROUNDDOWN(L13+46*Programmdaten!U33,2),IF(Programmdaten!Y3="9 Monate",ROUNDDOWN(L13+46*Programmdaten!U33,2),IF(Programmdaten!Y3="12 Monate",ROUNDDOWN(L13+46*Programmdaten!U33,2),"Zonk!"))))))))))))))))</f>
        <v>0</v>
      </c>
      <c r="Q19"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Monate",ROUNDDOWN(L13+47*Programmdaten!U33,2),IF(Programmdaten!Y3="3 Monate",ROUNDDOWN(L13+47*Programmdaten!U33,2),IF(Programmdaten!Y3="4 Monate",ROUNDDOWN(L13+47*Programmdaten!U33,2),IF(Programmdaten!Y3="6 Monate",ROUNDDOWN(L13+47*Programmdaten!U33,2),IF(Programmdaten!Y3="8 Monate",ROUNDDOWN(L13+47*Programmdaten!U33,2),IF(Programmdaten!Y3="9 Monate",ROUNDDOWN(L13+47*Programmdaten!U33,2),IF(Programmdaten!Y3="12 Monate",ROUNDDOWN(L13+47*Programmdaten!U33,2),"Zonk!"))))))))))))))))</f>
        <v>0</v>
      </c>
      <c r="R19"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Monate",ROUNDDOWN(L13+48*Programmdaten!U33,2),IF(Programmdaten!Y3="3 Monate",ROUNDDOWN(L13+48*Programmdaten!U33,2),IF(Programmdaten!Y3="4 Monate",ROUNDDOWN(L13+48*Programmdaten!U33,2),IF(Programmdaten!Y3="6 Monate",ROUNDDOWN(L13+48*Programmdaten!U33,2),IF(Programmdaten!Y3="8 Monate",ROUNDDOWN(L13+48*Programmdaten!U33,2),IF(Programmdaten!Y3="9 Monate",ROUNDDOWN(L13+48*Programmdaten!U33,2),IF(Programmdaten!Y3="12 Monate",ROUNDDOWN(L13+48*Programmdaten!U33,2),"Zonk!"))))))))))))))))</f>
        <v>0</v>
      </c>
      <c r="S19" s="44">
        <f t="shared" ca="1" si="0"/>
        <v>0</v>
      </c>
      <c r="V19" s="68">
        <f>IF(Programmdaten!U35+6&gt;52,-52+Programmdaten!U35+6,Programmdaten!U35+6)</f>
        <v>39</v>
      </c>
      <c r="W19" s="66">
        <f ca="1">IFERROR(ROUNDUP(SUMIF(K13:K64,IF(V19-Programmdaten!U9&lt;0,V19-Programmdaten!U9+52,V19-Programmdaten!U9),S13:S64),1),"")</f>
        <v>0</v>
      </c>
      <c r="X19" s="67">
        <f>IFERROR(ROUNDDOWN(SUMIF('Gewichts-Tabelle'!K16:K67,V19,'Gewichts-Tabelle'!S16:S67),1),"")</f>
        <v>0</v>
      </c>
    </row>
    <row r="20" spans="1:24" x14ac:dyDescent="0.25">
      <c r="K20" s="47">
        <v>7</v>
      </c>
      <c r="L20"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Monate",ROUNDDOWN(L13+49*Programmdaten!U33,2),IF(Programmdaten!Y3="3 Monate",ROUNDDOWN(L13+49*Programmdaten!U33,2),IF(Programmdaten!Y3="4 Monate",ROUNDDOWN(L13+49*Programmdaten!U33,2),IF(Programmdaten!Y3="6 Monate",ROUNDDOWN(L13+49*Programmdaten!U33,2),IF(Programmdaten!Y3="8 Monate",ROUNDDOWN(L13+49*Programmdaten!U33,2),IF(Programmdaten!Y3="9 Monate",ROUNDDOWN(L13+49*Programmdaten!U33,2),IF(Programmdaten!Y3="12 Monate",ROUNDDOWN(L13+49*Programmdaten!U33,2),"Zonk!"))))))))))))))))</f>
        <v>0</v>
      </c>
      <c r="M20"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Monate",ROUNDDOWN(L13+50*Programmdaten!U33,2),IF(Programmdaten!Y3="3 Monate",ROUNDDOWN(L13+50*Programmdaten!U33,2),IF(Programmdaten!Y3="4 Monate",ROUNDDOWN(L13+50*Programmdaten!U33,2),IF(Programmdaten!Y3="6 Monate",ROUNDDOWN(L13+50*Programmdaten!U33,2),IF(Programmdaten!Y3="8 Monate",ROUNDDOWN(L13+50*Programmdaten!U33,2),IF(Programmdaten!Y3="9 Monate",ROUNDDOWN(L13+50*Programmdaten!U33,2),IF(Programmdaten!Y3="12 Monate",ROUNDDOWN(L13+50*Programmdaten!U33,2),"Zonk!"))))))))))))))))</f>
        <v>0</v>
      </c>
      <c r="N20"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Monate",ROUNDDOWN(L13+51*Programmdaten!U33,2),IF(Programmdaten!Y3="3 Monate",ROUNDDOWN(L13+51*Programmdaten!U33,2),IF(Programmdaten!Y3="4 Monate",ROUNDDOWN(L13+51*Programmdaten!U33,2),IF(Programmdaten!Y3="6 Monate",ROUNDDOWN(L13+51*Programmdaten!U33,2),IF(Programmdaten!Y3="8 Monate",ROUNDDOWN(L13+51*Programmdaten!U33,2),IF(Programmdaten!Y3="9 Monate",ROUNDDOWN(L13+51*Programmdaten!U33,2),IF(Programmdaten!Y3="12 Monate",ROUNDDOWN(L13+51*Programmdaten!U33,2),"Zonk!"))))))))))))))))</f>
        <v>0</v>
      </c>
      <c r="O20"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Monate",ROUNDDOWN(L13+52*Programmdaten!U33,2),IF(Programmdaten!Y3="3 Monate",ROUNDDOWN(L13+52*Programmdaten!U33,2),IF(Programmdaten!Y3="4 Monate",ROUNDDOWN(L13+52*Programmdaten!U33,2),IF(Programmdaten!Y3="6 Monate",ROUNDDOWN(L13+52*Programmdaten!U33,2),IF(Programmdaten!Y3="8 Monate",ROUNDDOWN(L13+52*Programmdaten!U33,2),IF(Programmdaten!Y3="9 Monate",ROUNDDOWN(L13+52*Programmdaten!U33,2),IF(Programmdaten!Y3="12 Monate",ROUNDDOWN(L13+52*Programmdaten!U33,2),"Zonk!"))))))))))))))))</f>
        <v>0</v>
      </c>
      <c r="P20"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Monate",ROUNDDOWN(L13+53*Programmdaten!U33,2),IF(Programmdaten!Y3="3 Monate",ROUNDDOWN(L13+53*Programmdaten!U33,2),IF(Programmdaten!Y3="4 Monate",ROUNDDOWN(L13+53*Programmdaten!U33,2),IF(Programmdaten!Y3="6 Monate",ROUNDDOWN(L13+53*Programmdaten!U33,2),IF(Programmdaten!Y3="8 Monate",ROUNDDOWN(L13+53*Programmdaten!U33,2),IF(Programmdaten!Y3="9 Monate",ROUNDDOWN(L13+53*Programmdaten!U33,2),IF(Programmdaten!Y3="12 Monate",ROUNDDOWN(L13+53*Programmdaten!U33,2),"Zonk!"))))))))))))))))</f>
        <v>0</v>
      </c>
      <c r="Q20"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Monate",ROUNDDOWN(L13+54*Programmdaten!U33,2),IF(Programmdaten!Y3="3 Monate",ROUNDDOWN(L13+54*Programmdaten!U33,2),IF(Programmdaten!Y3="4 Monate",ROUNDDOWN(L13+54*Programmdaten!U33,2),IF(Programmdaten!Y3="6 Monate",ROUNDDOWN(L13+54*Programmdaten!U33,2),IF(Programmdaten!Y3="8 Monate",ROUNDDOWN(L13+54*Programmdaten!U33,2),IF(Programmdaten!Y3="9 Monate",ROUNDDOWN(L13+54*Programmdaten!U33,2),IF(Programmdaten!Y3="12 Monate",ROUNDDOWN(L13+54*Programmdaten!U33,2),"Zonk!"))))))))))))))))</f>
        <v>0</v>
      </c>
      <c r="R20"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Monate",ROUNDDOWN(L13+55*Programmdaten!U33,2),IF(Programmdaten!Y3="3 Monate",ROUNDDOWN(L13+55*Programmdaten!U33,2),IF(Programmdaten!Y3="4 Monate",ROUNDDOWN(L13+55*Programmdaten!U33,2),IF(Programmdaten!Y3="6 Monate",ROUNDDOWN(L13+55*Programmdaten!U33,2),IF(Programmdaten!Y3="8 Monate",ROUNDDOWN(L13+55*Programmdaten!U33,2),IF(Programmdaten!Y3="9 Monate",ROUNDDOWN(L13+55*Programmdaten!U33,2),IF(Programmdaten!Y3="12 Monate",ROUNDDOWN(L13+55*Programmdaten!U33,2),"Zonk!"))))))))))))))))</f>
        <v>0</v>
      </c>
      <c r="S20" s="44">
        <f t="shared" ca="1" si="0"/>
        <v>0</v>
      </c>
      <c r="V20" s="68">
        <f>IF(Programmdaten!U35+7&gt;52,-52+Programmdaten!U35+7,Programmdaten!U35+7)</f>
        <v>40</v>
      </c>
      <c r="W20" s="66">
        <f ca="1">IFERROR(ROUNDUP(SUMIF(K13:K64,IF(V20-Programmdaten!U9&lt;0,V20-Programmdaten!U9+52,V20-Programmdaten!U9),S13:S64),1),"")</f>
        <v>0</v>
      </c>
      <c r="X20" s="67">
        <f>IFERROR(ROUNDDOWN(SUMIF('Gewichts-Tabelle'!K16:K67,V20,'Gewichts-Tabelle'!S16:S67),1),"")</f>
        <v>0</v>
      </c>
    </row>
    <row r="21" spans="1:24" x14ac:dyDescent="0.25">
      <c r="K21" s="47">
        <v>8</v>
      </c>
      <c r="L21"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Monate",ROUNDDOWN(L13+56*Programmdaten!U33,2),IF(Programmdaten!Y3="3 Monate",ROUNDDOWN(L13+56*Programmdaten!U33,2),IF(Programmdaten!Y3="4 Monate",ROUNDDOWN(L13+56*Programmdaten!U33,2),IF(Programmdaten!Y3="6 Monate",ROUNDDOWN(L13+56*Programmdaten!U33,2),IF(Programmdaten!Y3="8 Monate",ROUNDDOWN(L13+56*Programmdaten!U33,2),IF(Programmdaten!Y3="9 Monate",ROUNDDOWN(L13+56*Programmdaten!U33,2),IF(Programmdaten!Y3="12 Monate",ROUNDDOWN(L13+56*Programmdaten!U33,2),"Zonk!"))))))))))))))))</f>
        <v>0</v>
      </c>
      <c r="M21"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Monate",ROUNDDOWN(L13+57*Programmdaten!U33,2),IF(Programmdaten!Y3="3 Monate",ROUNDDOWN(L13+57*Programmdaten!U33,2),IF(Programmdaten!Y3="4 Monate",ROUNDDOWN(L13+57*Programmdaten!U33,2),IF(Programmdaten!Y3="6 Monate",ROUNDDOWN(L13+57*Programmdaten!U33,2),IF(Programmdaten!Y3="8 Monate",ROUNDDOWN(L13+57*Programmdaten!U33,2),IF(Programmdaten!Y3="9 Monate",ROUNDDOWN(L13+57*Programmdaten!U33,2),IF(Programmdaten!Y3="12 Monate",ROUNDDOWN(L13+57*Programmdaten!U33,2),"Zonk!"))))))))))))))))</f>
        <v>0</v>
      </c>
      <c r="N21"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Monate",ROUNDDOWN(L13+58*Programmdaten!U33,2),IF(Programmdaten!Y3="3 Monate",ROUNDDOWN(L13+58*Programmdaten!U33,2),IF(Programmdaten!Y3="4 Monate",ROUNDDOWN(L13+58*Programmdaten!U33,2),IF(Programmdaten!Y3="6 Monate",ROUNDDOWN(L13+58*Programmdaten!U33,2),IF(Programmdaten!Y3="8 Monate",ROUNDDOWN(L13+58*Programmdaten!U33,2),IF(Programmdaten!Y3="9 Monate",ROUNDDOWN(L13+58*Programmdaten!U33,2),IF(Programmdaten!Y3="12 Monate",ROUNDDOWN(L13+58*Programmdaten!U33,2),"Zonk!"))))))))))))))))</f>
        <v>0</v>
      </c>
      <c r="O21"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Monate",ROUNDDOWN(L13+59*Programmdaten!U33,2),IF(Programmdaten!Y3="3 Monate",ROUNDDOWN(L13+59*Programmdaten!U33,2),IF(Programmdaten!Y3="4 Monate",ROUNDDOWN(L13+59*Programmdaten!U33,2),IF(Programmdaten!Y3="6 Monate",ROUNDDOWN(L13+59*Programmdaten!U33,2),IF(Programmdaten!Y3="8 Monate",ROUNDDOWN(L13+59*Programmdaten!U33,2),IF(Programmdaten!Y3="9 Monate",ROUNDDOWN(L13+59*Programmdaten!U33,2),IF(Programmdaten!Y3="12 Monate",ROUNDDOWN(L13+59*Programmdaten!U33,2),"Zonk!"))))))))))))))))</f>
        <v>0</v>
      </c>
      <c r="P21" s="45">
        <f ca="1">IF(Programmdaten!Y3="1 Tag",M13,IF(Programmdaten!Y3="2 Tage",N13,IF(Programmdaten!Y3="3 Tage",O13,IF(Programmdaten!Y3="4 Tage",P13,IF(Programmdaten!Y3="1 Woche",R13,IF(Programmdaten!Y3="2 Wochen",R14,IF(Programmdaten!Y3="3 Wochen",R15,IF(Programmdaten!Y3="4 Wochen",R16,IF(Programmdaten!Y3="1 Monat",N17,IF(Programmdaten!Y3="2 Monate",ROUNDDOWN(L13+60*Programmdaten!U33,2),IF(Programmdaten!Y3="3 Monate",ROUNDDOWN(L13+60*Programmdaten!U33,2),IF(Programmdaten!Y3="4 Monate",ROUNDDOWN(L13+60*Programmdaten!U33,2),IF(Programmdaten!Y3="6 Monate",ROUNDDOWN(L13+60*Programmdaten!U33,2),IF(Programmdaten!Y3="8 Monate",ROUNDDOWN(L13+60*Programmdaten!U33,2),IF(Programmdaten!Y3="9 Monate",ROUNDDOWN(L13+60*Programmdaten!U33,2),IF(Programmdaten!Y3="12 Monate",ROUNDDOWN(L13+60*Programmdaten!U33,2),"Zonk!"))))))))))))))))</f>
        <v>0</v>
      </c>
      <c r="Q2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Monate",ROUNDDOWN(L13+61*Programmdaten!U33,2),IF(Programmdaten!Y3="4 Monate",ROUNDDOWN(L13+61*Programmdaten!U33,2),IF(Programmdaten!Y3="6 Monate",ROUNDDOWN(L13+61*Programmdaten!U33,2),IF(Programmdaten!Y3="8 Monate",ROUNDDOWN(L13+61*Programmdaten!U33,2),IF(Programmdaten!Y3="9 Monate",ROUNDDOWN(L13+61*Programmdaten!U33,2),IF(Programmdaten!Y3="12 Monate",ROUNDDOWN(L13+61*Programmdaten!U33,2),"Zonk!"))))))))))))))))</f>
        <v>0</v>
      </c>
      <c r="R2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Monate",ROUNDDOWN(L13+62*Programmdaten!U33,2),IF(Programmdaten!Y3="4 Monate",ROUNDDOWN(L13+62*Programmdaten!U33,2),IF(Programmdaten!Y3="6 Monate",ROUNDDOWN(L13+62*Programmdaten!U33,2),IF(Programmdaten!Y3="8 Monate",ROUNDDOWN(L13+62*Programmdaten!U33,2),IF(Programmdaten!Y3="9 Monate",ROUNDDOWN(L13+62*Programmdaten!U33,2),IF(Programmdaten!Y3="12 Monate",ROUNDDOWN(L13+62*Programmdaten!U33,2),"Zonk!"))))))))))))))))</f>
        <v>0</v>
      </c>
      <c r="S21" s="44">
        <f t="shared" ca="1" si="0"/>
        <v>0</v>
      </c>
      <c r="V21" s="68">
        <f>IF(Programmdaten!U35+8&gt;52,-52+Programmdaten!U35+8,Programmdaten!U35+8)</f>
        <v>41</v>
      </c>
      <c r="W21" s="66">
        <f ca="1">IFERROR(ROUNDUP(SUMIF(K13:K64,IF(V21-Programmdaten!U9&lt;0,V21-Programmdaten!U9+52,V21-Programmdaten!U9),S13:S64),1),"")</f>
        <v>0</v>
      </c>
      <c r="X21" s="67">
        <f>IFERROR(ROUNDDOWN(SUMIF('Gewichts-Tabelle'!K16:K67,V21,'Gewichts-Tabelle'!S16:S67),1),"")</f>
        <v>0</v>
      </c>
    </row>
    <row r="22" spans="1:24" x14ac:dyDescent="0.25">
      <c r="K22" s="47">
        <v>9</v>
      </c>
      <c r="L2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Monate",ROUNDDOWN(L13+63*Programmdaten!U33,2),IF(Programmdaten!Y3="4 Monate",ROUNDDOWN(L13+63*Programmdaten!U33,2),IF(Programmdaten!Y3="6 Monate",ROUNDDOWN(L13+63*Programmdaten!U33,2),IF(Programmdaten!Y3="8 Monate",ROUNDDOWN(L13+63*Programmdaten!U33,2),IF(Programmdaten!Y3="9 Monate",ROUNDDOWN(L13+63*Programmdaten!U33,2),IF(Programmdaten!Y3="12 Monate",ROUNDDOWN(L13+63*Programmdaten!U33,2),"Zonk!"))))))))))))))))</f>
        <v>0</v>
      </c>
      <c r="M2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Monate",ROUNDDOWN(L13+64*Programmdaten!U33,2),IF(Programmdaten!Y3="4 Monate",ROUNDDOWN(L13+64*Programmdaten!U33,2),IF(Programmdaten!Y3="6 Monate",ROUNDDOWN(L13+64*Programmdaten!U33,2),IF(Programmdaten!Y3="8 Monate",ROUNDDOWN(L13+64*Programmdaten!U33,2),IF(Programmdaten!Y3="9 Monate",ROUNDDOWN(L13+64*Programmdaten!U33,2),IF(Programmdaten!Y3="12 Monate",ROUNDDOWN(L13+64*Programmdaten!U33,2),"Zonk!"))))))))))))))))</f>
        <v>0</v>
      </c>
      <c r="N2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Monate",ROUNDDOWN(L13+65*Programmdaten!U33,2),IF(Programmdaten!Y3="4 Monate",ROUNDDOWN(L13+65*Programmdaten!U33,2),IF(Programmdaten!Y3="6 Monate",ROUNDDOWN(L13+65*Programmdaten!U33,2),IF(Programmdaten!Y3="8 Monate",ROUNDDOWN(L13+65*Programmdaten!U33,2),IF(Programmdaten!Y3="9 Monate",ROUNDDOWN(L13+65*Programmdaten!U33,2),IF(Programmdaten!Y3="12 Monate",ROUNDDOWN(L13+65*Programmdaten!U33,2),"Zonk!"))))))))))))))))</f>
        <v>0</v>
      </c>
      <c r="O2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Monate",ROUNDDOWN(L13+66*Programmdaten!U33,2),IF(Programmdaten!Y3="4 Monate",ROUNDDOWN(L13+66*Programmdaten!U33,2),IF(Programmdaten!Y3="6 Monate",ROUNDDOWN(L13+66*Programmdaten!U33,2),IF(Programmdaten!Y3="8 Monate",ROUNDDOWN(L13+66*Programmdaten!U33,2),IF(Programmdaten!Y3="9 Monate",ROUNDDOWN(L13+66*Programmdaten!U33,2),IF(Programmdaten!Y3="12 Monate",ROUNDDOWN(L13+66*Programmdaten!U33,2),"Zonk!"))))))))))))))))</f>
        <v>0</v>
      </c>
      <c r="P2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Monate",ROUNDDOWN(L13+67*Programmdaten!U33,2),IF(Programmdaten!Y3="4 Monate",ROUNDDOWN(L13+67*Programmdaten!U33,2),IF(Programmdaten!Y3="6 Monate",ROUNDDOWN(L13+67*Programmdaten!U33,2),IF(Programmdaten!Y3="8 Monate",ROUNDDOWN(L13+67*Programmdaten!U33,2),IF(Programmdaten!Y3="9 Monate",ROUNDDOWN(L13+67*Programmdaten!U33,2),IF(Programmdaten!Y3="12 Monate",ROUNDDOWN(L13+67*Programmdaten!U33,2),"Zonk!"))))))))))))))))</f>
        <v>0</v>
      </c>
      <c r="Q2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Monate",ROUNDDOWN(L13+68*Programmdaten!U33,2),IF(Programmdaten!Y3="4 Monate",ROUNDDOWN(L13+68*Programmdaten!U33,2),IF(Programmdaten!Y3="6 Monate",ROUNDDOWN(L13+68*Programmdaten!U33,2),IF(Programmdaten!Y3="8 Monate",ROUNDDOWN(L13+68*Programmdaten!U33,2),IF(Programmdaten!Y3="9 Monate",ROUNDDOWN(L13+68*Programmdaten!U33,2),IF(Programmdaten!Y3="12 Monate",ROUNDDOWN(L13+68*Programmdaten!U33,2),"Zonk!"))))))))))))))))</f>
        <v>0</v>
      </c>
      <c r="R2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Monate",ROUNDDOWN(L13+69*Programmdaten!U33,2),IF(Programmdaten!Y3="4 Monate",ROUNDDOWN(L13+69*Programmdaten!U33,2),IF(Programmdaten!Y3="6 Monate",ROUNDDOWN(L13+69*Programmdaten!U33,2),IF(Programmdaten!Y3="8 Monate",ROUNDDOWN(L13+69*Programmdaten!U33,2),IF(Programmdaten!Y3="9 Monate",ROUNDDOWN(L13+69*Programmdaten!U33,2),IF(Programmdaten!Y3="12 Monate",ROUNDDOWN(L13+69*Programmdaten!U33,2),"Zonk!"))))))))))))))))</f>
        <v>0</v>
      </c>
      <c r="S22" s="44">
        <f t="shared" ca="1" si="0"/>
        <v>0</v>
      </c>
      <c r="V22" s="68">
        <f>IF(Programmdaten!U35+9&gt;52,-52+Programmdaten!U35+9,Programmdaten!U35+9)</f>
        <v>42</v>
      </c>
      <c r="W22" s="66">
        <f ca="1">IFERROR(ROUNDUP(SUMIF(K13:K64,IF(V22-Programmdaten!U9&lt;0,V22-Programmdaten!U9+52,V22-Programmdaten!U9),S13:S64),1),"")</f>
        <v>0</v>
      </c>
      <c r="X22" s="67">
        <f>IFERROR(ROUNDDOWN(SUMIF('Gewichts-Tabelle'!K16:K67,V22,'Gewichts-Tabelle'!S16:S67),1),"")</f>
        <v>0</v>
      </c>
    </row>
    <row r="23" spans="1:24" x14ac:dyDescent="0.25">
      <c r="E23" s="9"/>
      <c r="F23" s="9"/>
      <c r="G23" s="9"/>
      <c r="H23" s="9"/>
      <c r="I23" s="9"/>
      <c r="J23" s="9"/>
      <c r="K23" s="47">
        <v>10</v>
      </c>
      <c r="L2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Monate",ROUNDDOWN(L13+70*Programmdaten!U33,2),IF(Programmdaten!Y3="4 Monate",ROUNDDOWN(L13+70*Programmdaten!U33,2),IF(Programmdaten!Y3="6 Monate",ROUNDDOWN(L13+70*Programmdaten!U33,2),IF(Programmdaten!Y3="8 Monate",ROUNDDOWN(L13+70*Programmdaten!U33,2),IF(Programmdaten!Y3="9 Monate",ROUNDDOWN(L13+70*Programmdaten!U33,2),IF(Programmdaten!Y3="12 Monate",ROUNDDOWN(L13+70*Programmdaten!U33,2),"Zonk!"))))))))))))))))</f>
        <v>0</v>
      </c>
      <c r="M2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Monate",ROUNDDOWN(L13+71*Programmdaten!U33,2),IF(Programmdaten!Y3="4 Monate",ROUNDDOWN(L13+71*Programmdaten!U33,2),IF(Programmdaten!Y3="6 Monate",ROUNDDOWN(L13+71*Programmdaten!U33,2),IF(Programmdaten!Y3="8 Monate",ROUNDDOWN(L13+71*Programmdaten!U33,2),IF(Programmdaten!Y3="9 Monate",ROUNDDOWN(L13+71*Programmdaten!U33,2),IF(Programmdaten!Y3="12 Monate",ROUNDDOWN(L13+71*Programmdaten!U33,2),"Zonk!"))))))))))))))))</f>
        <v>0</v>
      </c>
      <c r="N2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Monate",ROUNDDOWN(L13+72*Programmdaten!U33,2),IF(Programmdaten!Y3="4 Monate",ROUNDDOWN(L13+72*Programmdaten!U33,2),IF(Programmdaten!Y3="6 Monate",ROUNDDOWN(L13+72*Programmdaten!U33,2),IF(Programmdaten!Y3="8 Monate",ROUNDDOWN(L13+72*Programmdaten!U33,2),IF(Programmdaten!Y3="9 Monate",ROUNDDOWN(L13+72*Programmdaten!U33,2),IF(Programmdaten!Y3="12 Monate",ROUNDDOWN(L13+72*Programmdaten!U33,2),"Zonk!"))))))))))))))))</f>
        <v>0</v>
      </c>
      <c r="O2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Monate",ROUNDDOWN(L13+73*Programmdaten!U33,2),IF(Programmdaten!Y3="4 Monate",ROUNDDOWN(L13+73*Programmdaten!U33,2),IF(Programmdaten!Y3="6 Monate",ROUNDDOWN(L13+73*Programmdaten!U33,2),IF(Programmdaten!Y3="8 Monate",ROUNDDOWN(L13+73*Programmdaten!U33,2),IF(Programmdaten!Y3="9 Monate",ROUNDDOWN(L13+73*Programmdaten!U33,2),IF(Programmdaten!Y3="12 Monate",ROUNDDOWN(L13+73*Programmdaten!U33,2),"Zonk!"))))))))))))))))</f>
        <v>0</v>
      </c>
      <c r="P2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Monate",ROUNDDOWN(L13+74*Programmdaten!U33,2),IF(Programmdaten!Y3="4 Monate",ROUNDDOWN(L13+74*Programmdaten!U33,2),IF(Programmdaten!Y3="6 Monate",ROUNDDOWN(L13+74*Programmdaten!U33,2),IF(Programmdaten!Y3="8 Monate",ROUNDDOWN(L13+74*Programmdaten!U33,2),IF(Programmdaten!Y3="9 Monate",ROUNDDOWN(L13+74*Programmdaten!U33,2),IF(Programmdaten!Y3="12 Monate",ROUNDDOWN(L13+74*Programmdaten!U33,2),"Zonk!"))))))))))))))))</f>
        <v>0</v>
      </c>
      <c r="Q2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Monate",ROUNDDOWN(L13+75*Programmdaten!U33,2),IF(Programmdaten!Y3="4 Monate",ROUNDDOWN(L13+75*Programmdaten!U33,2),IF(Programmdaten!Y3="6 Monate",ROUNDDOWN(L13+75*Programmdaten!U33,2),IF(Programmdaten!Y3="8 Monate",ROUNDDOWN(L13+75*Programmdaten!U33,2),IF(Programmdaten!Y3="9 Monate",ROUNDDOWN(L13+75*Programmdaten!U33,2),IF(Programmdaten!Y3="12 Monate",ROUNDDOWN(L13+75*Programmdaten!U33,2),"Zonk!"))))))))))))))))</f>
        <v>0</v>
      </c>
      <c r="R2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Monate",ROUNDDOWN(L13+76*Programmdaten!U33,2),IF(Programmdaten!Y3="4 Monate",ROUNDDOWN(L13+76*Programmdaten!U33,2),IF(Programmdaten!Y3="6 Monate",ROUNDDOWN(L13+76*Programmdaten!U33,2),IF(Programmdaten!Y3="8 Monate",ROUNDDOWN(L13+76*Programmdaten!U33,2),IF(Programmdaten!Y3="9 Monate",ROUNDDOWN(L13+76*Programmdaten!U33,2),IF(Programmdaten!Y3="12 Monate",ROUNDDOWN(L13+76*Programmdaten!U33,2),"Zonk!"))))))))))))))))</f>
        <v>0</v>
      </c>
      <c r="S23" s="44">
        <f t="shared" ca="1" si="0"/>
        <v>0</v>
      </c>
      <c r="V23" s="68">
        <f>IF(Programmdaten!U35+10&gt;52,-52+Programmdaten!U35+10,Programmdaten!U35+10)</f>
        <v>43</v>
      </c>
      <c r="W23" s="66">
        <f ca="1">IFERROR(ROUNDUP(SUMIF(K13:K64,IF(V23-Programmdaten!U9&lt;0,V23-Programmdaten!U9+52,V23-Programmdaten!U9),S13:S64),1),"")</f>
        <v>0</v>
      </c>
      <c r="X23" s="67">
        <f>IFERROR(ROUNDDOWN(SUMIF('Gewichts-Tabelle'!K16:K67,V23,'Gewichts-Tabelle'!S16:S67),1),"")</f>
        <v>0</v>
      </c>
    </row>
    <row r="24" spans="1:24" ht="15" customHeight="1" x14ac:dyDescent="0.25">
      <c r="E24" s="29"/>
      <c r="F24" s="29"/>
      <c r="G24" s="29"/>
      <c r="H24" s="29"/>
      <c r="I24" s="29"/>
      <c r="J24" s="29"/>
      <c r="K24" s="47">
        <v>11</v>
      </c>
      <c r="L2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Monate",ROUNDDOWN(L13+77*Programmdaten!U33,2),IF(Programmdaten!Y3="4 Monate",ROUNDDOWN(L13+77*Programmdaten!U33,2),IF(Programmdaten!Y3="6 Monate",ROUNDDOWN(L13+77*Programmdaten!U33,2),IF(Programmdaten!Y3="8 Monate",ROUNDDOWN(L13+77*Programmdaten!U33,2),IF(Programmdaten!Y3="9 Monate",ROUNDDOWN(L13+77*Programmdaten!U33,2),IF(Programmdaten!Y3="12 Monate",ROUNDDOWN(L13+77*Programmdaten!U33,2),"Zonk!"))))))))))))))))</f>
        <v>0</v>
      </c>
      <c r="M2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Monate",ROUNDDOWN(L13+78*Programmdaten!U33,2),IF(Programmdaten!Y3="4 Monate",ROUNDDOWN(L13+78*Programmdaten!U33,2),IF(Programmdaten!Y3="6 Monate",ROUNDDOWN(L13+78*Programmdaten!U33,2),IF(Programmdaten!Y3="8 Monate",ROUNDDOWN(L13+78*Programmdaten!U33,2),IF(Programmdaten!Y3="9 Monate",ROUNDDOWN(L13+78*Programmdaten!U33,2),IF(Programmdaten!Y3="12 Monate",ROUNDDOWN(L13+78*Programmdaten!U33,2),"Zonk!"))))))))))))))))</f>
        <v>0</v>
      </c>
      <c r="N2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Monate",ROUNDDOWN(L13+79*Programmdaten!U33,2),IF(Programmdaten!Y3="4 Monate",ROUNDDOWN(L13+79*Programmdaten!U33,2),IF(Programmdaten!Y3="6 Monate",ROUNDDOWN(L13+79*Programmdaten!U33,2),IF(Programmdaten!Y3="8 Monate",ROUNDDOWN(L13+79*Programmdaten!U33,2),IF(Programmdaten!Y3="9 Monate",ROUNDDOWN(L13+79*Programmdaten!U33,2),IF(Programmdaten!Y3="12 Monate",ROUNDDOWN(L13+79*Programmdaten!U33,2),"Zonk!"))))))))))))))))</f>
        <v>0</v>
      </c>
      <c r="O2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Monate",ROUNDDOWN(L13+80*Programmdaten!U33,2),IF(Programmdaten!Y3="4 Monate",ROUNDDOWN(L13+80*Programmdaten!U33,2),IF(Programmdaten!Y3="6 Monate",ROUNDDOWN(L13+80*Programmdaten!U33,2),IF(Programmdaten!Y3="8 Monate",ROUNDDOWN(L13+80*Programmdaten!U33,2),IF(Programmdaten!Y3="9 Monate",ROUNDDOWN(L13+80*Programmdaten!U33,2),IF(Programmdaten!Y3="12 Monate",ROUNDDOWN(L13+80*Programmdaten!U33,2),"Zonk!"))))))))))))))))</f>
        <v>0</v>
      </c>
      <c r="P2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Monate",ROUNDDOWN(L13+81*Programmdaten!U33,2),IF(Programmdaten!Y3="4 Monate",ROUNDDOWN(L13+81*Programmdaten!U33,2),IF(Programmdaten!Y3="6 Monate",ROUNDDOWN(L13+81*Programmdaten!U33,2),IF(Programmdaten!Y3="8 Monate",ROUNDDOWN(L13+81*Programmdaten!U33,2),IF(Programmdaten!Y3="9 Monate",ROUNDDOWN(L13+81*Programmdaten!U33,2),IF(Programmdaten!Y3="12 Monate",ROUNDDOWN(L13+81*Programmdaten!U33,2),"Zonk!"))))))))))))))))</f>
        <v>0</v>
      </c>
      <c r="Q2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Monate",ROUNDDOWN(L13+82*Programmdaten!U33,2),IF(Programmdaten!Y3="4 Monate",ROUNDDOWN(L13+82*Programmdaten!U33,2),IF(Programmdaten!Y3="6 Monate",ROUNDDOWN(L13+82*Programmdaten!U33,2),IF(Programmdaten!Y3="8 Monate",ROUNDDOWN(L13+82*Programmdaten!U33,2),IF(Programmdaten!Y3="9 Monate",ROUNDDOWN(L13+82*Programmdaten!U33,2),IF(Programmdaten!Y3="12 Monate",ROUNDDOWN(L13+82*Programmdaten!U33,2),"Zonk!"))))))))))))))))</f>
        <v>0</v>
      </c>
      <c r="R2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Monate",ROUNDDOWN(L13+83*Programmdaten!U33,2),IF(Programmdaten!Y3="4 Monate",ROUNDDOWN(L13+83*Programmdaten!U33,2),IF(Programmdaten!Y3="6 Monate",ROUNDDOWN(L13+83*Programmdaten!U33,2),IF(Programmdaten!Y3="8 Monate",ROUNDDOWN(L13+83*Programmdaten!U33,2),IF(Programmdaten!Y3="9 Monate",ROUNDDOWN(L13+83*Programmdaten!U33,2),IF(Programmdaten!Y3="12 Monate",ROUNDDOWN(L13+83*Programmdaten!U33,2),"Zonk!"))))))))))))))))</f>
        <v>0</v>
      </c>
      <c r="S24" s="44">
        <f t="shared" ca="1" si="0"/>
        <v>0</v>
      </c>
      <c r="V24" s="68">
        <f>IF(Programmdaten!U35+11&gt;52,-52+Programmdaten!U35+11,Programmdaten!U35+11)</f>
        <v>44</v>
      </c>
      <c r="W24" s="66">
        <f ca="1">IFERROR(ROUNDUP(SUMIF(K13:K64,IF(V24-Programmdaten!U9&lt;0,V24-Programmdaten!U9+52,V24-Programmdaten!U9),S13:S64),1),"")</f>
        <v>0</v>
      </c>
      <c r="X24" s="67">
        <f>IFERROR(ROUNDDOWN(SUMIF('Gewichts-Tabelle'!K16:K67,V24,'Gewichts-Tabelle'!S16:S67),1),"")</f>
        <v>0</v>
      </c>
    </row>
    <row r="25" spans="1:24" x14ac:dyDescent="0.25">
      <c r="E25" s="29"/>
      <c r="F25" s="29"/>
      <c r="G25" s="29"/>
      <c r="H25" s="29"/>
      <c r="I25" s="29"/>
      <c r="J25" s="29"/>
      <c r="K25" s="47">
        <v>12</v>
      </c>
      <c r="L2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Monate",ROUNDDOWN(L13+84*Programmdaten!U33,2),IF(Programmdaten!Y3="4 Monate",ROUNDDOWN(L13+84*Programmdaten!U33,2),IF(Programmdaten!Y3="6 Monate",ROUNDDOWN(L13+84*Programmdaten!U33,2),IF(Programmdaten!Y3="8 Monate",ROUNDDOWN(L13+84*Programmdaten!U33,2),IF(Programmdaten!Y3="9 Monate",ROUNDDOWN(L13+84*Programmdaten!U33,2),IF(Programmdaten!Y3="12 Monate",ROUNDDOWN(L13+84*Programmdaten!U33,2),"Zonk!"))))))))))))))))</f>
        <v>0</v>
      </c>
      <c r="M2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Monate",ROUNDDOWN(L13+85*Programmdaten!U33,2),IF(Programmdaten!Y3="4 Monate",ROUNDDOWN(L13+85*Programmdaten!U33,2),IF(Programmdaten!Y3="6 Monate",ROUNDDOWN(L13+85*Programmdaten!U33,2),IF(Programmdaten!Y3="8 Monate",ROUNDDOWN(L13+85*Programmdaten!U33,2),IF(Programmdaten!Y3="9 Monate",ROUNDDOWN(L13+85*Programmdaten!U33,2),IF(Programmdaten!Y3="12 Monate",ROUNDDOWN(L13+85*Programmdaten!U33,2),"Zonk!"))))))))))))))))</f>
        <v>0</v>
      </c>
      <c r="N2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Monate",ROUNDDOWN(L13+86*Programmdaten!U33,2),IF(Programmdaten!Y3="4 Monate",ROUNDDOWN(L13+86*Programmdaten!U33,2),IF(Programmdaten!Y3="6 Monate",ROUNDDOWN(L13+86*Programmdaten!U33,2),IF(Programmdaten!Y3="8 Monate",ROUNDDOWN(L13+86*Programmdaten!U33,2),IF(Programmdaten!Y3="9 Monate",ROUNDDOWN(L13+86*Programmdaten!U33,2),IF(Programmdaten!Y3="12 Monate",ROUNDDOWN(L13+86*Programmdaten!U33,2),"Zonk!"))))))))))))))))</f>
        <v>0</v>
      </c>
      <c r="O2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Monate",ROUNDDOWN(L13+87*Programmdaten!U33,2),IF(Programmdaten!Y3="4 Monate",ROUNDDOWN(L13+87*Programmdaten!U33,2),IF(Programmdaten!Y3="6 Monate",ROUNDDOWN(L13+87*Programmdaten!U33,2),IF(Programmdaten!Y3="8 Monate",ROUNDDOWN(L13+87*Programmdaten!U33,2),IF(Programmdaten!Y3="9 Monate",ROUNDDOWN(L13+87*Programmdaten!U33,2),IF(Programmdaten!Y3="12 Monate",ROUNDDOWN(L13+87*Programmdaten!U33,2),"Zonk!"))))))))))))))))</f>
        <v>0</v>
      </c>
      <c r="P2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Monate",ROUNDDOWN(L13+88*Programmdaten!U33,2),IF(Programmdaten!Y3="4 Monate",ROUNDDOWN(L13+88*Programmdaten!U33,2),IF(Programmdaten!Y3="6 Monate",ROUNDDOWN(L13+88*Programmdaten!U33,2),IF(Programmdaten!Y3="8 Monate",ROUNDDOWN(L13+88*Programmdaten!U33,2),IF(Programmdaten!Y3="9 Monate",ROUNDDOWN(L13+88*Programmdaten!U33,2),IF(Programmdaten!Y3="12 Monate",ROUNDDOWN(L13+88*Programmdaten!U33,2),"Zonk!"))))))))))))))))</f>
        <v>0</v>
      </c>
      <c r="Q2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Monate",ROUNDDOWN(L13+89*Programmdaten!U33,2),IF(Programmdaten!Y3="4 Monate",ROUNDDOWN(L13+89*Programmdaten!U33,2),IF(Programmdaten!Y3="6 Monate",ROUNDDOWN(L13+89*Programmdaten!U33,2),IF(Programmdaten!Y3="8 Monate",ROUNDDOWN(L13+89*Programmdaten!U33,2),IF(Programmdaten!Y3="9 Monate",ROUNDDOWN(L13+89*Programmdaten!U33,2),IF(Programmdaten!Y3="12 Monate",ROUNDDOWN(L13+89*Programmdaten!U33,2),"Zonk!"))))))))))))))))</f>
        <v>0</v>
      </c>
      <c r="R2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Monate",ROUNDDOWN(L13+90*Programmdaten!U33,2),IF(Programmdaten!Y3="4 Monate",ROUNDDOWN(L13+90*Programmdaten!U33,2),IF(Programmdaten!Y3="6 Monate",ROUNDDOWN(L13+90*Programmdaten!U33,2),IF(Programmdaten!Y3="8 Monate",ROUNDDOWN(L13+90*Programmdaten!U33,2),IF(Programmdaten!Y3="9 Monate",ROUNDDOWN(L13+90*Programmdaten!U33,2),IF(Programmdaten!Y3="12 Monate",ROUNDDOWN(L13+90*Programmdaten!U33,2),"Zonk!"))))))))))))))))</f>
        <v>0</v>
      </c>
      <c r="S25" s="44">
        <f t="shared" ca="1" si="0"/>
        <v>0</v>
      </c>
      <c r="V25" s="68">
        <f>IF(Programmdaten!U35+12&gt;52,-52+Programmdaten!U35+12,Programmdaten!U35+12)</f>
        <v>45</v>
      </c>
      <c r="W25" s="66">
        <f ca="1">IFERROR(ROUNDUP(SUMIF(K13:K64,IF(V25-Programmdaten!U9&lt;0,V25-Programmdaten!U9+52,V25-Programmdaten!U9),S13:S64),1),"")</f>
        <v>0</v>
      </c>
      <c r="X25" s="67">
        <f>IFERROR(ROUNDDOWN(SUMIF('Gewichts-Tabelle'!K16:K67,V25,'Gewichts-Tabelle'!S16:S67),1),"")</f>
        <v>0</v>
      </c>
    </row>
    <row r="26" spans="1:24" x14ac:dyDescent="0.25">
      <c r="E26" s="29"/>
      <c r="F26" s="29"/>
      <c r="G26" s="29"/>
      <c r="H26" s="29"/>
      <c r="I26" s="29"/>
      <c r="J26" s="29"/>
      <c r="K26" s="47">
        <v>13</v>
      </c>
      <c r="L2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Monate",ROUNDDOWN(L13+91*Programmdaten!U33,2),IF(Programmdaten!Y3="4 Monate",ROUNDDOWN(L13+91*Programmdaten!U33,2),IF(Programmdaten!Y3="6 Monate",ROUNDDOWN(L13+91*Programmdaten!U33,2),IF(Programmdaten!Y3="8 Monate",ROUNDDOWN(L13+91*Programmdaten!U33,2),IF(Programmdaten!Y3="9 Monate",ROUNDDOWN(L13+91*Programmdaten!U33,2),IF(Programmdaten!Y3="12 Monate",ROUNDDOWN(L13+91*Programmdaten!U33,2),"Zonk!"))))))))))))))))</f>
        <v>0</v>
      </c>
      <c r="M2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Monate",ROUNDDOWN(L13+92*Programmdaten!U33,2),IF(Programmdaten!Y3="6 Monate",ROUNDDOWN(L13+92*Programmdaten!U33,2),IF(Programmdaten!Y3="8 Monate",ROUNDDOWN(L13+92*Programmdaten!U33,2),IF(Programmdaten!Y3="9 Monate",ROUNDDOWN(L13+92*Programmdaten!U33,2),IF(Programmdaten!Y3="12 Monate",ROUNDDOWN(L13+92*Programmdaten!U33,2),"Zonk!"))))))))))))))))</f>
        <v>0</v>
      </c>
      <c r="N2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Monate",ROUNDDOWN(L13+93*Programmdaten!U33,2),IF(Programmdaten!Y3="6 Monate",ROUNDDOWN(L13+93*Programmdaten!U33,2),IF(Programmdaten!Y3="8 Monate",ROUNDDOWN(L13+93*Programmdaten!U33,2),IF(Programmdaten!Y3="9 Monate",ROUNDDOWN(L13+93*Programmdaten!U33,2),IF(Programmdaten!Y3="12 Monate",ROUNDDOWN(L13+93*Programmdaten!U33,2),"Zonk!"))))))))))))))))</f>
        <v>0</v>
      </c>
      <c r="O2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Monate",ROUNDDOWN(L13+94*Programmdaten!U33,2),IF(Programmdaten!Y3="6 Monate",ROUNDDOWN(L13+94*Programmdaten!U33,2),IF(Programmdaten!Y3="8 Monate",ROUNDDOWN(L13+94*Programmdaten!U33,2),IF(Programmdaten!Y3="9 Monate",ROUNDDOWN(L13+94*Programmdaten!U33,2),IF(Programmdaten!Y3="12 Monate",ROUNDDOWN(L13+94*Programmdaten!U33,2),"Zonk!"))))))))))))))))</f>
        <v>0</v>
      </c>
      <c r="P2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Monate",ROUNDDOWN(L13+95*Programmdaten!U33,2),IF(Programmdaten!Y3="6 Monate",ROUNDDOWN(L13+95*Programmdaten!U33,2),IF(Programmdaten!Y3="8 Monate",ROUNDDOWN(L13+95*Programmdaten!U33,2),IF(Programmdaten!Y3="9 Monate",ROUNDDOWN(L13+95*Programmdaten!U33,2),IF(Programmdaten!Y3="12 Monate",ROUNDDOWN(L13+95*Programmdaten!U33,2),"Zonk!"))))))))))))))))</f>
        <v>0</v>
      </c>
      <c r="Q2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Monate",ROUNDDOWN(L13+96*Programmdaten!U33,2),IF(Programmdaten!Y3="6 Monate",ROUNDDOWN(L13+96*Programmdaten!U33,2),IF(Programmdaten!Y3="8 Monate",ROUNDDOWN(L13+96*Programmdaten!U33,2),IF(Programmdaten!Y3="9 Monate",ROUNDDOWN(L13+96*Programmdaten!U33,2),IF(Programmdaten!Y3="12 Monate",ROUNDDOWN(L13+96*Programmdaten!U33,2),"Zonk!"))))))))))))))))</f>
        <v>0</v>
      </c>
      <c r="R2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Monate",ROUNDDOWN(L13+97*Programmdaten!U33,2),IF(Programmdaten!Y3="6 Monate",ROUNDDOWN(L13+97*Programmdaten!U33,2),IF(Programmdaten!Y3="8 Monate",ROUNDDOWN(L13+97*Programmdaten!U33,2),IF(Programmdaten!Y3="9 Monate",ROUNDDOWN(L13+97*Programmdaten!U33,2),IF(Programmdaten!Y3="12 Monate",ROUNDDOWN(L13+97*Programmdaten!U33,2),"Zonk!"))))))))))))))))</f>
        <v>0</v>
      </c>
      <c r="S26" s="44">
        <f t="shared" ca="1" si="0"/>
        <v>0</v>
      </c>
      <c r="V26" s="68">
        <f>IF(Programmdaten!U35+13&gt;52,-52+Programmdaten!U35+13,Programmdaten!U35+13)</f>
        <v>46</v>
      </c>
      <c r="W26" s="66">
        <f ca="1">IFERROR(ROUNDUP(SUMIF(K13:K64,IF(V26-Programmdaten!U9&lt;0,V26-Programmdaten!U9+52,V26-Programmdaten!U9),S13:S64),1),"")</f>
        <v>0</v>
      </c>
      <c r="X26" s="67">
        <f>IFERROR(ROUNDDOWN(SUMIF('Gewichts-Tabelle'!K16:K67,V26,'Gewichts-Tabelle'!S16:S67),1),"")</f>
        <v>0</v>
      </c>
    </row>
    <row r="27" spans="1:24" x14ac:dyDescent="0.25">
      <c r="E27" s="29"/>
      <c r="F27" s="29"/>
      <c r="G27" s="29"/>
      <c r="H27" s="29"/>
      <c r="I27" s="29"/>
      <c r="J27" s="29"/>
      <c r="K27" s="47">
        <v>14</v>
      </c>
      <c r="L2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Monate",ROUNDDOWN(L13+98*Programmdaten!U33,2),IF(Programmdaten!Y3="6 Monate",ROUNDDOWN(L13+98*Programmdaten!U33,2),IF(Programmdaten!Y3="8 Monate",ROUNDDOWN(L13+98*Programmdaten!U33,2),IF(Programmdaten!Y3="9 Monate",ROUNDDOWN(L13+98*Programmdaten!U33,2),IF(Programmdaten!Y3="12 Monate",ROUNDDOWN(L13+98*Programmdaten!U33,2),"Zonk!"))))))))))))))))</f>
        <v>0</v>
      </c>
      <c r="M2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Monate",ROUNDDOWN(L13+99*Programmdaten!U33,2),IF(Programmdaten!Y3="6 Monate",ROUNDDOWN(L13+99*Programmdaten!U33,2),IF(Programmdaten!Y3="8 Monate",ROUNDDOWN(L13+99*Programmdaten!U33,2),IF(Programmdaten!Y3="9 Monate",ROUNDDOWN(L13+99*Programmdaten!U33,2),IF(Programmdaten!Y3="12 Monate",ROUNDDOWN(L13+99*Programmdaten!U33,2),"Zonk!"))))))))))))))))</f>
        <v>0</v>
      </c>
      <c r="N2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Monate",ROUNDDOWN(L13+100*Programmdaten!U33,2),IF(Programmdaten!Y3="6 Monate",ROUNDDOWN(L13+100*Programmdaten!U33,2),IF(Programmdaten!Y3="8 Monate",ROUNDDOWN(L13+100*Programmdaten!U33,2),IF(Programmdaten!Y3="9 Monate",ROUNDDOWN(L13+100*Programmdaten!U33,2),IF(Programmdaten!Y3="12 Monate",ROUNDDOWN(L13+100*Programmdaten!U33,2),"Zonk!"))))))))))))))))</f>
        <v>0</v>
      </c>
      <c r="O2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Monate",ROUNDDOWN(L13+101*Programmdaten!U33,2),IF(Programmdaten!Y3="6 Monate",ROUNDDOWN(L13+101*Programmdaten!U33,2),IF(Programmdaten!Y3="8 Monate",ROUNDDOWN(L13+101*Programmdaten!U33,2),IF(Programmdaten!Y3="9 Monate",ROUNDDOWN(L13+101*Programmdaten!U33,2),IF(Programmdaten!Y3="12 Monate",ROUNDDOWN(L13+101*Programmdaten!U33,2),"Zonk!"))))))))))))))))</f>
        <v>0</v>
      </c>
      <c r="P2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Monate",ROUNDDOWN(L13+102*Programmdaten!U33,2),IF(Programmdaten!Y3="6 Monate",ROUNDDOWN(L13+102*Programmdaten!U33,2),IF(Programmdaten!Y3="8 Monate",ROUNDDOWN(L13+102*Programmdaten!U33,2),IF(Programmdaten!Y3="9 Monate",ROUNDDOWN(L13+101*Programmdaten!U33,2),IF(Programmdaten!Y3="12 Monate",ROUNDDOWN(L13+102*Programmdaten!U33,2),"Zonk!"))))))))))))))))</f>
        <v>0</v>
      </c>
      <c r="Q2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Monate",ROUNDDOWN(L13+103*Programmdaten!U33,2),IF(Programmdaten!Y3="6 Monate",ROUNDDOWN(L13+103*Programmdaten!U33,2),IF(Programmdaten!Y3="8 Monate",ROUNDDOWN(L13+103*Programmdaten!U33,2),IF(Programmdaten!Y3="9 Monate",ROUNDDOWN(L13+103*Programmdaten!U33,2),IF(Programmdaten!Y3="12 Monate",ROUNDDOWN(L13+103*Programmdaten!U33,2),"Zonk!"))))))))))))))))</f>
        <v>0</v>
      </c>
      <c r="R2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Monate",ROUNDDOWN(L13+104*Programmdaten!U33,2),IF(Programmdaten!Y3="6 Monate",ROUNDDOWN(L13+104*Programmdaten!U33,2),IF(Programmdaten!Y3="8 Monate",ROUNDDOWN(L13+104*Programmdaten!U33,2),IF(Programmdaten!Y3="9 Monate",ROUNDDOWN(L13+104*Programmdaten!U33,2),IF(Programmdaten!Y3="12 Monate",ROUNDDOWN(L13+104*Programmdaten!U33,2),"Zonk!"))))))))))))))))</f>
        <v>0</v>
      </c>
      <c r="S27" s="44">
        <f t="shared" ca="1" si="0"/>
        <v>0</v>
      </c>
      <c r="V27" s="68">
        <f>IF(Programmdaten!U35+14&gt;52,-52+Programmdaten!U35+14,Programmdaten!U35+14)</f>
        <v>47</v>
      </c>
      <c r="W27" s="66">
        <f ca="1">IFERROR(ROUNDUP(SUMIF(K13:K64,IF(V27-Programmdaten!U9&lt;0,V27-Programmdaten!U9+52,V27-Programmdaten!U9),S13:S64),1),"")</f>
        <v>0</v>
      </c>
      <c r="X27" s="67">
        <f>IFERROR(ROUNDDOWN(SUMIF('Gewichts-Tabelle'!K16:K67,V27,'Gewichts-Tabelle'!S16:S67),1),"")</f>
        <v>0</v>
      </c>
    </row>
    <row r="28" spans="1:24" x14ac:dyDescent="0.25">
      <c r="E28" s="29"/>
      <c r="F28" s="29"/>
      <c r="G28" s="29"/>
      <c r="H28" s="29"/>
      <c r="I28" s="29"/>
      <c r="J28" s="29"/>
      <c r="K28" s="47">
        <v>15</v>
      </c>
      <c r="L2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Monate",ROUNDDOWN(L13+105*Programmdaten!U33,2),IF(Programmdaten!Y3="6 Monate",ROUNDDOWN(L13+105*Programmdaten!U33,2),IF(Programmdaten!Y3="8 Monate",ROUNDDOWN(L13+105*Programmdaten!U33,2),IF(Programmdaten!Y3="9 Monate",ROUNDDOWN(L13+105*Programmdaten!U33,2),IF(Programmdaten!Y3="12 Monate",ROUNDDOWN(L13+105*Programmdaten!U33,2),"Zonk!"))))))))))))))))</f>
        <v>0</v>
      </c>
      <c r="M2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Monate",ROUNDDOWN(L13+106*Programmdaten!U33,2),IF(Programmdaten!Y3="6 Monate",ROUNDDOWN(L13+106*Programmdaten!U33,2),IF(Programmdaten!Y3="8 Monate",ROUNDDOWN(L13+106*Programmdaten!U33,2),IF(Programmdaten!Y3="9 Monate",ROUNDDOWN(L13+106*Programmdaten!U33,2),IF(Programmdaten!Y3="12 Monate",ROUNDDOWN(L13+106*Programmdaten!U33,2),"Zonk!"))))))))))))))))</f>
        <v>0</v>
      </c>
      <c r="N2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Monate",ROUNDDOWN(L13+107*Programmdaten!U33,2),IF(Programmdaten!Y3="6 Monate",ROUNDDOWN(L13+107*Programmdaten!U33,2),IF(Programmdaten!Y3="8 Monate",ROUNDDOWN(L13+107*Programmdaten!U33,2),IF(Programmdaten!Y3="9 Monate",ROUNDDOWN(L13+107*Programmdaten!U33,2),IF(Programmdaten!Y3="12 Monate",ROUNDDOWN(L13+107*Programmdaten!U33,2),"Zonk!"))))))))))))))))</f>
        <v>0</v>
      </c>
      <c r="O2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Monate",ROUNDDOWN(L13+108*Programmdaten!U33,2),IF(Programmdaten!Y3="6 Monate",ROUNDDOWN(L13+108*Programmdaten!U33,2),IF(Programmdaten!Y3="8 Monate",ROUNDDOWN(L13+108*Programmdaten!U33,2),IF(Programmdaten!Y3="9 Monate",ROUNDDOWN(L13+108*Programmdaten!U33,2),IF(Programmdaten!Y3="12 Monate",ROUNDDOWN(L13+108*Programmdaten!U33,2),"Zonk!"))))))))))))))))</f>
        <v>0</v>
      </c>
      <c r="P2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Monate",ROUNDDOWN(L13+109*Programmdaten!U33,2),IF(Programmdaten!Y3="6 Monate",ROUNDDOWN(L13+109*Programmdaten!U33,2),IF(Programmdaten!Y3="8 Monate",ROUNDDOWN(L13+109*Programmdaten!U33,2),IF(Programmdaten!Y3="9 Monate",ROUNDDOWN(L13+109*Programmdaten!U33,2),IF(Programmdaten!Y3="12 Monate",ROUNDDOWN(L13+109*Programmdaten!U33,2),"Zonk!"))))))))))))))))</f>
        <v>0</v>
      </c>
      <c r="Q2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Monate",ROUNDDOWN(L13+110*Programmdaten!U33,2),IF(Programmdaten!Y3="6 Monate",ROUNDDOWN(L13+110*Programmdaten!U33,2),IF(Programmdaten!Y3="8 Monate",ROUNDDOWN(L13+110*Programmdaten!U33,2),IF(Programmdaten!Y3="9 Monate",ROUNDDOWN(L13+110*Programmdaten!U33,2),IF(Programmdaten!Y3="12 Monate",ROUNDDOWN(L13+110*Programmdaten!U33,2),"Zonk!"))))))))))))))))</f>
        <v>0</v>
      </c>
      <c r="R2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Monate",ROUNDDOWN(L13+111*Programmdaten!U33,2),IF(Programmdaten!Y3="6 Monate",ROUNDDOWN(L13+111*Programmdaten!U33,2),IF(Programmdaten!Y3="8 Monate",ROUNDDOWN(L13+111*Programmdaten!U33,2),IF(Programmdaten!Y3="9 Monate",ROUNDDOWN(L13+111*Programmdaten!U33,2),IF(Programmdaten!Y3="12 Monate",ROUNDDOWN(L13+111*Programmdaten!U33,2),"Zonk!"))))))))))))))))</f>
        <v>0</v>
      </c>
      <c r="S28" s="44">
        <f t="shared" ca="1" si="0"/>
        <v>0</v>
      </c>
      <c r="V28" s="68">
        <f>IF(Programmdaten!U35+15&gt;52,-52+Programmdaten!U35+15,Programmdaten!U35+15)</f>
        <v>48</v>
      </c>
      <c r="W28" s="66">
        <f ca="1">IFERROR(ROUNDUP(SUMIF(K13:K64,IF(V28-Programmdaten!U9&lt;0,V28-Programmdaten!U9+52,V28-Programmdaten!U9),S13:S64),1),"")</f>
        <v>0</v>
      </c>
      <c r="X28" s="67">
        <f>IFERROR(ROUNDDOWN(SUMIF('Gewichts-Tabelle'!K16:K67,V28,'Gewichts-Tabelle'!S16:S67),1),"")</f>
        <v>0</v>
      </c>
    </row>
    <row r="29" spans="1:24" x14ac:dyDescent="0.25">
      <c r="E29" s="29"/>
      <c r="F29" s="29"/>
      <c r="G29" s="29"/>
      <c r="H29" s="29"/>
      <c r="I29" s="29"/>
      <c r="J29" s="29"/>
      <c r="K29" s="47">
        <v>16</v>
      </c>
      <c r="L2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Monate",ROUNDDOWN(L13+112*Programmdaten!U33,2),IF(Programmdaten!Y3="6 Monate",ROUNDDOWN(L13+112*Programmdaten!U33,2),IF(Programmdaten!Y3="8 Monate",ROUNDDOWN(L13+112*Programmdaten!U33,2),IF(Programmdaten!Y3="9 Monate",ROUNDDOWN(L13+112*Programmdaten!U33,2),IF(Programmdaten!Y3="12 Monate",ROUNDDOWN(L13+112*Programmdaten!U33,2),"Zonk!"))))))))))))))))</f>
        <v>0</v>
      </c>
      <c r="M2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Monate",ROUNDDOWN(L13+113*Programmdaten!U33,2),IF(Programmdaten!Y3="6 Monate",ROUNDDOWN(L13+113*Programmdaten!U33,2),IF(Programmdaten!Y3="8 Monate",ROUNDDOWN(L13+113*Programmdaten!U33,2),IF(Programmdaten!Y3="9 Monate",ROUNDDOWN(L13+113*Programmdaten!U33,2),IF(Programmdaten!Y3="12 Monate",ROUNDDOWN(L13+113*Programmdaten!U33,2),"Zonk!"))))))))))))))))</f>
        <v>0</v>
      </c>
      <c r="N2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Monate",ROUNDDOWN(L13+114*Programmdaten!U33,2),IF(Programmdaten!Y3="6 Monate",ROUNDDOWN(L13+114*Programmdaten!U33,2),IF(Programmdaten!Y3="8 Monate",ROUNDDOWN(L13+114*Programmdaten!U33,2),IF(Programmdaten!Y3="9 Monate",ROUNDDOWN(L13+114*Programmdaten!U33,2),IF(Programmdaten!Y3="12 Monate",ROUNDDOWN(L13+114*Programmdaten!U33,2),"Zonk!"))))))))))))))))</f>
        <v>0</v>
      </c>
      <c r="O2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Monate",ROUNDDOWN(L13+115*Programmdaten!U33,2),IF(Programmdaten!Y3="6 Monate",ROUNDDOWN(L13+115*Programmdaten!U33,2),IF(Programmdaten!Y3="8 Monate",ROUNDDOWN(L13+115*Programmdaten!U33,2),IF(Programmdaten!Y3="9 Monate",ROUNDDOWN(L13+115*Programmdaten!U33,2),IF(Programmdaten!Y3="12 Monate",ROUNDDOWN(L13+115*Programmdaten!U33,2),"Zonk!"))))))))))))))))</f>
        <v>0</v>
      </c>
      <c r="P2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Monate",ROUNDDOWN(L13+116*Programmdaten!U33,2),IF(Programmdaten!Y3="6 Monate",ROUNDDOWN(L13+116*Programmdaten!U33,2),IF(Programmdaten!Y3="8 Monate",ROUNDDOWN(L13+116*Programmdaten!U33,2),IF(Programmdaten!Y3="9 Monate",ROUNDDOWN(L13+116*Programmdaten!U33,2),IF(Programmdaten!Y3="12 Monate",ROUNDDOWN(L13+116*Programmdaten!U33,2),"Zonk!"))))))))))))))))</f>
        <v>0</v>
      </c>
      <c r="Q2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Monate",ROUNDDOWN(L13+117*Programmdaten!U33,2),IF(Programmdaten!Y3="6 Monate",ROUNDDOWN(L13+117*Programmdaten!U33,2),IF(Programmdaten!Y3="8 Monate",ROUNDDOWN(L13+117*Programmdaten!U33,2),IF(Programmdaten!Y3="9 Monate",ROUNDDOWN(L13+117*Programmdaten!U33,2),IF(Programmdaten!Y3="12 Monate",ROUNDDOWN(L13+117*Programmdaten!U33,2),"Zonk!"))))))))))))))))</f>
        <v>0</v>
      </c>
      <c r="R2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Monate",ROUNDDOWN(L13+118*Programmdaten!U33,2),IF(Programmdaten!Y3="6 Monate",ROUNDDOWN(L13+118*Programmdaten!U33,2),IF(Programmdaten!Y3="8 Monate",ROUNDDOWN(L13+118*Programmdaten!U33,2),IF(Programmdaten!Y3="9 Monate",ROUNDDOWN(L13+118*Programmdaten!U33,2),IF(Programmdaten!Y3="12 Monate",ROUNDDOWN(L13+118*Programmdaten!U33,2),"Zonk!"))))))))))))))))</f>
        <v>0</v>
      </c>
      <c r="S29" s="44">
        <f t="shared" ca="1" si="0"/>
        <v>0</v>
      </c>
      <c r="V29" s="68">
        <f>IF(Programmdaten!U35+16&gt;52,-52+Programmdaten!U35+16,Programmdaten!U35+16)</f>
        <v>49</v>
      </c>
      <c r="W29" s="66">
        <f ca="1">IFERROR(ROUNDUP(SUMIF(K13:K64,IF(V29-Programmdaten!U9&lt;0,V29-Programmdaten!U9+52,V29-Programmdaten!U9),S13:S64),1),"")</f>
        <v>0</v>
      </c>
      <c r="X29" s="67">
        <f>IFERROR(ROUNDDOWN(SUMIF('Gewichts-Tabelle'!K16:K67,V29,'Gewichts-Tabelle'!S16:S67),1),"")</f>
        <v>0</v>
      </c>
    </row>
    <row r="30" spans="1:24" x14ac:dyDescent="0.25">
      <c r="E30" s="29"/>
      <c r="F30" s="29"/>
      <c r="G30" s="29"/>
      <c r="H30" s="29"/>
      <c r="I30" s="29"/>
      <c r="J30" s="29"/>
      <c r="K30" s="47">
        <v>17</v>
      </c>
      <c r="L3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Monate",ROUNDDOWN(L13+119*Programmdaten!U33,2),IF(Programmdaten!Y3="6 Monate",ROUNDDOWN(L13+119*Programmdaten!U33,2),IF(Programmdaten!Y3="8 Monate",ROUNDDOWN(L13+119*Programmdaten!U33,2),IF(Programmdaten!Y3="9 Monate",ROUNDDOWN(L13+119*Programmdaten!U33,2),IF(Programmdaten!Y3="12 Monate",ROUNDDOWN(L13+119*Programmdaten!U33,2),"Zonk!"))))))))))))))))</f>
        <v>0</v>
      </c>
      <c r="M3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Monate",ROUNDDOWN(L13+120*Programmdaten!U33,2),IF(Programmdaten!Y3="6 Monate",ROUNDDOWN(L13+120*Programmdaten!U33,2),IF(Programmdaten!Y3="8 Monate",ROUNDDOWN(L13+120*Programmdaten!U33,2),IF(Programmdaten!Y3="9 Monate",ROUNDDOWN(L13+120*Programmdaten!U33,2),IF(Programmdaten!Y3="12 Monate",ROUNDDOWN(L13+120*Programmdaten!U33,2),"Zonk!"))))))))))))))))</f>
        <v>0</v>
      </c>
      <c r="N3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Monate",ROUNDDOWN(L13+121*Programmdaten!U33,2),IF(Programmdaten!Y3="8 Monate",ROUNDDOWN(L13+121*Programmdaten!U33,2),IF(Programmdaten!Y3="9 Monate",ROUNDDOWN(L13+121*Programmdaten!U33,2),IF(Programmdaten!Y3="12 Monate",ROUNDDOWN(L13+121*Programmdaten!U33,2),"Zonk!"))))))))))))))))</f>
        <v>0</v>
      </c>
      <c r="O3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Monate",ROUNDDOWN(L13+122*Programmdaten!U33,2),IF(Programmdaten!Y3="8 Monate",ROUNDDOWN(L13+122*Programmdaten!U33,2),IF(Programmdaten!Y3="9 Monate",ROUNDDOWN(L13+122*Programmdaten!U33,2),IF(Programmdaten!Y3="12 Monate",ROUNDDOWN(L13+122*Programmdaten!U33,2),"Zonk!"))))))))))))))))</f>
        <v>0</v>
      </c>
      <c r="P3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Monate",ROUNDDOWN(L13+123*Programmdaten!U33,2),IF(Programmdaten!Y3="8 Monate",ROUNDDOWN(L13+123*Programmdaten!U33,2),IF(Programmdaten!Y3="9 Monate",ROUNDDOWN(L13+123*Programmdaten!U33,2),IF(Programmdaten!Y3="12 Monate",ROUNDDOWN(L13+123*Programmdaten!U33,2),"Zonk!"))))))))))))))))</f>
        <v>0</v>
      </c>
      <c r="Q3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Monate",ROUNDDOWN(L13+124*Programmdaten!U33,2),IF(Programmdaten!Y3="8 Monate",ROUNDDOWN(L13+124*Programmdaten!U33,2),IF(Programmdaten!Y3="9 Monate",ROUNDDOWN(L13+124*Programmdaten!U33,2),IF(Programmdaten!Y3="12 Monate",ROUNDDOWN(L13+124*Programmdaten!U33,2),"Zonk!"))))))))))))))))</f>
        <v>0</v>
      </c>
      <c r="R3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Monate",ROUNDDOWN(L13+125*Programmdaten!U33,2),IF(Programmdaten!Y3="8 Monate",ROUNDDOWN(L13+125*Programmdaten!U33,2),IF(Programmdaten!Y3="9 Monate",ROUNDDOWN(L13+125*Programmdaten!U33,2),IF(Programmdaten!Y3="12 Monate",ROUNDDOWN(L13+125*Programmdaten!U33,2),"Zonk!"))))))))))))))))</f>
        <v>0</v>
      </c>
      <c r="S30" s="44">
        <f t="shared" ca="1" si="0"/>
        <v>0</v>
      </c>
      <c r="V30" s="68">
        <f>IF(Programmdaten!U35+17&gt;52,-52+Programmdaten!U35+17,Programmdaten!U35+17)</f>
        <v>50</v>
      </c>
      <c r="W30" s="66">
        <f ca="1">IFERROR(ROUNDUP(SUMIF(K13:K64,IF(V30-Programmdaten!U9&lt;0,V30-Programmdaten!U9+52,V30-Programmdaten!U9),S13:S64),1),"")</f>
        <v>0</v>
      </c>
      <c r="X30" s="67">
        <f>IFERROR(ROUNDDOWN(SUMIF('Gewichts-Tabelle'!K16:K67,V30,'Gewichts-Tabelle'!S16:S67),1),"")</f>
        <v>0</v>
      </c>
    </row>
    <row r="31" spans="1:24" x14ac:dyDescent="0.25">
      <c r="E31" s="29"/>
      <c r="F31" s="29"/>
      <c r="G31" s="29"/>
      <c r="H31" s="29"/>
      <c r="I31" s="29"/>
      <c r="J31" s="29"/>
      <c r="K31" s="47">
        <v>18</v>
      </c>
      <c r="L3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Monate",ROUNDDOWN(L13+126*Programmdaten!U33,2),IF(Programmdaten!Y3="8 Monate",ROUNDDOWN(L13+126*Programmdaten!U33,2),IF(Programmdaten!Y3="9 Monate",ROUNDDOWN(L13+126*Programmdaten!U33,2),IF(Programmdaten!Y3="12 Monate",ROUNDDOWN(L13+126*Programmdaten!U33,2),"Zonk!"))))))))))))))))</f>
        <v>0</v>
      </c>
      <c r="M3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Monate",ROUNDDOWN(L13+127*Programmdaten!U33,2),IF(Programmdaten!Y3="8 Monate",ROUNDDOWN(L13+127*Programmdaten!U33,2),IF(Programmdaten!Y3="9 Monate",ROUNDDOWN(L13+127*Programmdaten!U33,2),IF(Programmdaten!Y3="12 Monate",ROUNDDOWN(L13+127*Programmdaten!U33,2),"Zonk!"))))))))))))))))</f>
        <v>0</v>
      </c>
      <c r="N3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Monate",ROUNDDOWN(L13+128*Programmdaten!U33,2),IF(Programmdaten!Y3="8 Monate",ROUNDDOWN(L13+128*Programmdaten!U33,2),IF(Programmdaten!Y3="9 Monate",ROUNDDOWN(L13+128*Programmdaten!U33,2),IF(Programmdaten!Y3="12 Monate",ROUNDDOWN(L13+128*Programmdaten!U33,2),"Zonk!"))))))))))))))))</f>
        <v>0</v>
      </c>
      <c r="O3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Monate",ROUNDDOWN(L13+129*Programmdaten!U33,2),IF(Programmdaten!Y3="8 Monate",ROUNDDOWN(L13+129*Programmdaten!U33,2),IF(Programmdaten!Y3="9 Monate",ROUNDDOWN(L13+129*Programmdaten!U33,2),IF(Programmdaten!Y3="12 Monate",ROUNDDOWN(L13+129*Programmdaten!U33,2),"Zonk!"))))))))))))))))</f>
        <v>0</v>
      </c>
      <c r="P3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Monate",ROUNDDOWN(L13+130*Programmdaten!U33,2),IF(Programmdaten!Y3="8 Monate",ROUNDDOWN(L13+130*Programmdaten!U33,2),IF(Programmdaten!Y3="9 Monate",ROUNDDOWN(L13+130*Programmdaten!U33,2),IF(Programmdaten!Y3="12 Monate",ROUNDDOWN(L13+130*Programmdaten!U33,2),"Zonk!"))))))))))))))))</f>
        <v>0</v>
      </c>
      <c r="Q3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Monate",ROUNDDOWN(L13+131*Programmdaten!U33,2),IF(Programmdaten!Y3="8 Monate",ROUNDDOWN(L13+131*Programmdaten!U33,2),IF(Programmdaten!Y3="9 Monate",ROUNDDOWN(L13+131*Programmdaten!U33,2),IF(Programmdaten!Y3="12 Monate",ROUNDDOWN(L13+131*Programmdaten!U33,2),"Zonk!"))))))))))))))))</f>
        <v>0</v>
      </c>
      <c r="R3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Monate",ROUNDDOWN(L13+132*Programmdaten!U33,2),IF(Programmdaten!Y3="8 Monate",ROUNDDOWN(L13+132*Programmdaten!U33,2),IF(Programmdaten!Y3="9 Monate",ROUNDDOWN(L13+132*Programmdaten!U33,2),IF(Programmdaten!Y3="12 Monate",ROUNDDOWN(L13+132*Programmdaten!U33,2),"Zonk!"))))))))))))))))</f>
        <v>0</v>
      </c>
      <c r="S31" s="44">
        <f t="shared" ca="1" si="0"/>
        <v>0</v>
      </c>
      <c r="V31" s="68">
        <f>IF(Programmdaten!U35+18&gt;52,-52+Programmdaten!U35+18,Programmdaten!U35+18)</f>
        <v>51</v>
      </c>
      <c r="W31" s="66">
        <f ca="1">IFERROR(ROUNDUP(SUMIF(K13:K64,IF(V31-Programmdaten!U9&lt;0,V31-Programmdaten!U9+52,V31-Programmdaten!U9),S13:S64),1),"")</f>
        <v>0</v>
      </c>
      <c r="X31" s="67">
        <f>IFERROR(ROUNDDOWN(SUMIF('Gewichts-Tabelle'!K16:K67,V31,'Gewichts-Tabelle'!S16:S67),1),"")</f>
        <v>0</v>
      </c>
    </row>
    <row r="32" spans="1:24" x14ac:dyDescent="0.25">
      <c r="E32" s="29"/>
      <c r="F32" s="29"/>
      <c r="G32" s="29"/>
      <c r="H32" s="29"/>
      <c r="I32" s="29"/>
      <c r="J32" s="29"/>
      <c r="K32" s="47">
        <v>19</v>
      </c>
      <c r="L3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Monate",ROUNDDOWN(L13+133*Programmdaten!U33,2),IF(Programmdaten!Y3="8 Monate",ROUNDDOWN(L13+133*Programmdaten!U33,2),IF(Programmdaten!Y3="9 Monate",ROUNDDOWN(L13+133*Programmdaten!U33,2),IF(Programmdaten!Y3="12 Monate",ROUNDDOWN(L13+133*Programmdaten!U33,2),"Zonk!"))))))))))))))))</f>
        <v>0</v>
      </c>
      <c r="M3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Monate",ROUNDDOWN(L13+134*Programmdaten!U33,2),IF(Programmdaten!Y3="8 Monate",ROUNDDOWN(L13+134*Programmdaten!U33,2),IF(Programmdaten!Y3="9 Monate",ROUNDDOWN(L13+134*Programmdaten!U33,2),IF(Programmdaten!Y3="12 Monate",ROUNDDOWN(L13+134*Programmdaten!U33,2),"Zonk!"))))))))))))))))</f>
        <v>0</v>
      </c>
      <c r="N3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Monate",ROUNDDOWN(L13+135*Programmdaten!U33,2),IF(Programmdaten!Y3="8 Monate",ROUNDDOWN(L13+135*Programmdaten!U33,2),IF(Programmdaten!Y3="9 Monate",ROUNDDOWN(L13+135*Programmdaten!U33,2),IF(Programmdaten!Y3="12 Monate",ROUNDDOWN(L13+135*Programmdaten!U33,2),"Zonk!"))))))))))))))))</f>
        <v>0</v>
      </c>
      <c r="O3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Monate",ROUNDDOWN(L13+136*Programmdaten!U33,2),IF(Programmdaten!Y3="8 Monate",ROUNDDOWN(L13+136*Programmdaten!U33,2),IF(Programmdaten!Y3="9 Monate",ROUNDDOWN(L13+136*Programmdaten!U33,2),IF(Programmdaten!Y3="12 Monate",ROUNDDOWN(L13+136*Programmdaten!U33,2),"Zonk!"))))))))))))))))</f>
        <v>0</v>
      </c>
      <c r="P3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Monate",ROUNDDOWN(L13+137*Programmdaten!U33,2),IF(Programmdaten!Y3="8 Monate",ROUNDDOWN(L13+137*Programmdaten!U33,2),IF(Programmdaten!Y3="9 Monate",ROUNDDOWN(L13+137*Programmdaten!U33,2),IF(Programmdaten!Y3="12 Monate",ROUNDDOWN(L13+137*Programmdaten!U33,2),"Zonk!"))))))))))))))))</f>
        <v>0</v>
      </c>
      <c r="Q3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Monate",ROUNDDOWN(L13+138*Programmdaten!U33,2),IF(Programmdaten!Y3="8 Monate",ROUNDDOWN(L13+138*Programmdaten!U33,2),IF(Programmdaten!Y3="9 Monate",ROUNDDOWN(L13+138*Programmdaten!U33,2),IF(Programmdaten!Y3="12 Monate",ROUNDDOWN(L13+138*Programmdaten!U33,2),"Zonk!"))))))))))))))))</f>
        <v>0</v>
      </c>
      <c r="R3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Monate",ROUNDDOWN(L13+139*Programmdaten!U33,2),IF(Programmdaten!Y3="8 Monate",ROUNDDOWN(L13+139*Programmdaten!U33,2),IF(Programmdaten!Y3="9 Monate",ROUNDDOWN(L13+139*Programmdaten!U33,2),IF(Programmdaten!Y3="12 Monate",ROUNDDOWN(L13+139*Programmdaten!U33,2),"Zonk!"))))))))))))))))</f>
        <v>0</v>
      </c>
      <c r="S32" s="44">
        <f t="shared" ca="1" si="0"/>
        <v>0</v>
      </c>
      <c r="V32" s="68">
        <f>IF(Programmdaten!U35+19&gt;52,-52+Programmdaten!U35+19,Programmdaten!U35+19)</f>
        <v>52</v>
      </c>
      <c r="W32" s="66">
        <f ca="1">IFERROR(ROUNDUP(SUMIF(K13:K64,IF(V32-Programmdaten!U9&lt;0,V32-Programmdaten!U9+52,V32-Programmdaten!U9),S13:S64),1),"")</f>
        <v>0</v>
      </c>
      <c r="X32" s="67">
        <f>IFERROR(ROUNDDOWN(SUMIF('Gewichts-Tabelle'!K16:K67,V32,'Gewichts-Tabelle'!S16:S67),1),"")</f>
        <v>0</v>
      </c>
    </row>
    <row r="33" spans="5:24" x14ac:dyDescent="0.25">
      <c r="E33" s="29"/>
      <c r="F33" s="29"/>
      <c r="G33" s="29"/>
      <c r="H33" s="29"/>
      <c r="I33" s="29"/>
      <c r="J33" s="29"/>
      <c r="K33" s="47">
        <v>20</v>
      </c>
      <c r="L3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Monate",ROUNDDOWN(L13+140*Programmdaten!U33,2),IF(Programmdaten!Y3="8 Monate",ROUNDDOWN(L13+140*Programmdaten!U33,2),IF(Programmdaten!Y3="9 Monate",ROUNDDOWN(L13+140*Programmdaten!U33,2),IF(Programmdaten!Y3="12 Monate",ROUNDDOWN(L13+140*Programmdaten!U33,2),"Zonk!"))))))))))))))))</f>
        <v>0</v>
      </c>
      <c r="M3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Monate",ROUNDDOWN(L13+141*Programmdaten!U33,2),IF(Programmdaten!Y3="8 Monate",ROUNDDOWN(L13+141*Programmdaten!U33,2),IF(Programmdaten!Y3="9 Monate",ROUNDDOWN(L13+141*Programmdaten!U33,2),IF(Programmdaten!Y3="12 Monate",ROUNDDOWN(L13+141*Programmdaten!U33,2),"Zonk!"))))))))))))))))</f>
        <v>0</v>
      </c>
      <c r="N3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Monate",ROUNDDOWN(L13+142*Programmdaten!U33,2),IF(Programmdaten!Y3="8 Monate",ROUNDDOWN(L13+142*Programmdaten!U33,2),IF(Programmdaten!Y3="9 Monate",ROUNDDOWN(L13+142*Programmdaten!U33,2),IF(Programmdaten!Y3="12 Monate",ROUNDDOWN(L13+142*Programmdaten!U33,2),"Zonk!"))))))))))))))))</f>
        <v>0</v>
      </c>
      <c r="O3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Monate",ROUNDDOWN(L13+143*Programmdaten!U33,2),IF(Programmdaten!Y3="8 Monate",ROUNDDOWN(L13+143*Programmdaten!U33,2),IF(Programmdaten!Y3="9 Monate",ROUNDDOWN(L13+143*Programmdaten!U33,2),IF(Programmdaten!Y3="12 Monate",ROUNDDOWN(L13+143*Programmdaten!U33,2),"Zonk!"))))))))))))))))</f>
        <v>0</v>
      </c>
      <c r="P3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Monate",ROUNDDOWN(L13+144*Programmdaten!U33,2),IF(Programmdaten!Y3="8 Monate",ROUNDDOWN(L13+144*Programmdaten!U33,2),IF(Programmdaten!Y3="9 Monate",ROUNDDOWN(L13+144*Programmdaten!U33,2),IF(Programmdaten!Y3="12 Monate",ROUNDDOWN(L13+144*Programmdaten!U33,2),"Zonk!"))))))))))))))))</f>
        <v>0</v>
      </c>
      <c r="Q3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Monate",ROUNDDOWN(L13+145*Programmdaten!U33,2),IF(Programmdaten!Y3="8 Monate",ROUNDDOWN(L13+145*Programmdaten!U33,2),IF(Programmdaten!Y3="9 Monate",ROUNDDOWN(L13+145*Programmdaten!U33,2),IF(Programmdaten!Y3="12 Monate",ROUNDDOWN(L13+145*Programmdaten!U33,2),"Zonk!"))))))))))))))))</f>
        <v>0</v>
      </c>
      <c r="R3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Monate",ROUNDDOWN(L13+146*Programmdaten!U33,2),IF(Programmdaten!Y3="8 Monate",ROUNDDOWN(L13+146*Programmdaten!U33,2),IF(Programmdaten!Y3="9 Monate",ROUNDDOWN(L13+146*Programmdaten!U33,2),IF(Programmdaten!Y3="12 Monate",ROUNDDOWN(L13+146*Programmdaten!U33,2),"Zonk!"))))))))))))))))</f>
        <v>0</v>
      </c>
      <c r="S33" s="44">
        <f t="shared" ca="1" si="0"/>
        <v>0</v>
      </c>
      <c r="V33" s="68">
        <f>IF(Programmdaten!U35+20&gt;52,-52+Programmdaten!U35+20,Programmdaten!U35+20)</f>
        <v>1</v>
      </c>
      <c r="W33" s="66">
        <f ca="1">IFERROR(ROUNDUP(SUMIF(K13:K64,IF(V33-Programmdaten!U9&lt;0,V33-Programmdaten!U9+52,V33-Programmdaten!U9),S13:S64),1),"")</f>
        <v>0</v>
      </c>
      <c r="X33" s="67">
        <f>IFERROR(ROUNDDOWN(SUMIF('Gewichts-Tabelle'!K16:K67,V33,'Gewichts-Tabelle'!S16:S67),1),"")</f>
        <v>0</v>
      </c>
    </row>
    <row r="34" spans="5:24" x14ac:dyDescent="0.25">
      <c r="E34" s="29"/>
      <c r="F34" s="29"/>
      <c r="G34" s="29"/>
      <c r="H34" s="29"/>
      <c r="I34" s="29"/>
      <c r="J34" s="29"/>
      <c r="K34" s="47">
        <v>21</v>
      </c>
      <c r="L3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Monate",ROUNDDOWN(L13+147*Programmdaten!U33,2),IF(Programmdaten!Y3="8 Monate",ROUNDDOWN(L13+147*Programmdaten!U33,2),IF(Programmdaten!Y3="9 Monate",ROUNDDOWN(L13+147*Programmdaten!U33,2),IF(Programmdaten!Y3="12 Monate",ROUNDDOWN(L13+147*Programmdaten!U33,2),"Zonk!"))))))))))))))))</f>
        <v>0</v>
      </c>
      <c r="M3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Monate",ROUNDDOWN(L13+148*Programmdaten!U33,2),IF(Programmdaten!Y3="8 Monate",ROUNDDOWN(L13+148*Programmdaten!U33,2),IF(Programmdaten!Y3="9 Monate",ROUNDDOWN(L13+148*Programmdaten!U33,2),IF(Programmdaten!Y3="12 Monate",ROUNDDOWN(L13+148*Programmdaten!U33,2),"Zonk!"))))))))))))))))</f>
        <v>0</v>
      </c>
      <c r="N3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Monate",ROUNDDOWN(L13+149*Programmdaten!U33,2),IF(Programmdaten!Y3="8 Monate",ROUNDDOWN(L13+149*Programmdaten!U33,2),IF(Programmdaten!Y3="9 Monate",ROUNDDOWN(L13+149*Programmdaten!U33,2),IF(Programmdaten!Y3="12 Monate",ROUNDDOWN(L13+149*Programmdaten!U33,2),"Zonk!"))))))))))))))))</f>
        <v>0</v>
      </c>
      <c r="O3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Monate",ROUNDDOWN(L13+150*Programmdaten!U33,2),IF(Programmdaten!Y3="8 Monate",ROUNDDOWN(L13+150*Programmdaten!U33,2),IF(Programmdaten!Y3="9 Monate",ROUNDDOWN(L13+150*Programmdaten!U33,2),IF(Programmdaten!Y3="12 Monate",ROUNDDOWN(L13+150*Programmdaten!U33,2),"Zonk!"))))))))))))))))</f>
        <v>0</v>
      </c>
      <c r="P3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Monate",ROUNDDOWN(L13+151*Programmdaten!U33,2),IF(Programmdaten!Y3="8 Monate",ROUNDDOWN(L13+151*Programmdaten!U33,2),IF(Programmdaten!Y3="9 Monate",ROUNDDOWN(L13+151*Programmdaten!U33,2),IF(Programmdaten!Y3="12 Monate",ROUNDDOWN(L13+151*Programmdaten!U33,2),"Zonk!"))))))))))))))))</f>
        <v>0</v>
      </c>
      <c r="Q34"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Monate",ROUNDDOWN(L13+152*Programmdaten!U33,2),IF(Programmdaten!Y3="8 Monate",ROUNDDOWN(L13+152*Programmdaten!U33,2),IF(Programmdaten!Y3="9 Monate",ROUNDDOWN(L13+152*Programmdaten!U33,2),IF(Programmdaten!Y3="12 Monate",ROUNDDOWN(L13+152*Programmdaten!U33,2),"Zonk!"))))))))))))))))</f>
        <v>0</v>
      </c>
      <c r="R3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Monate",ROUNDDOWN(L13+153*Programmdaten!U33,2),IF(Programmdaten!Y3="8 Monate",ROUNDDOWN(L13+153*Programmdaten!U33,2),IF(Programmdaten!Y3="9 Monate",ROUNDDOWN(L13+153*Programmdaten!U33,2),IF(Programmdaten!Y3="12 Monate",ROUNDDOWN(L13+153*Programmdaten!U33,2),"Zonk!"))))))))))))))))</f>
        <v>0</v>
      </c>
      <c r="S34" s="44">
        <f t="shared" ca="1" si="0"/>
        <v>0</v>
      </c>
      <c r="V34" s="68">
        <f>IF(Programmdaten!U35+21&gt;52,-52+Programmdaten!U35+21,Programmdaten!U35+21)</f>
        <v>2</v>
      </c>
      <c r="W34" s="66">
        <f ca="1">IFERROR(ROUNDUP(SUMIF(K13:K64,IF(V34-Programmdaten!U9&lt;0,V34-Programmdaten!U9+52,V34-Programmdaten!U9),S13:S64),1),"")</f>
        <v>0</v>
      </c>
      <c r="X34" s="67">
        <f>IFERROR(ROUNDDOWN(SUMIF('Gewichts-Tabelle'!K16:K67,V34,'Gewichts-Tabelle'!S16:S67),1),"")</f>
        <v>0</v>
      </c>
    </row>
    <row r="35" spans="5:24" x14ac:dyDescent="0.25">
      <c r="E35" s="29"/>
      <c r="F35" s="29"/>
      <c r="G35" s="29"/>
      <c r="H35" s="29"/>
      <c r="I35" s="29"/>
      <c r="J35" s="29"/>
      <c r="K35" s="47">
        <v>22</v>
      </c>
      <c r="L3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Monate",ROUNDDOWN(L13+154*Programmdaten!U33,2),IF(Programmdaten!Y3="8 Monate",ROUNDDOWN(L13+154*Programmdaten!U33,2),IF(Programmdaten!Y3="9 Monate",ROUNDDOWN(L13+154*Programmdaten!U33,2),IF(Programmdaten!Y3="12 Monate",ROUNDDOWN(L13+154*Programmdaten!U33,2),"Zonk!"))))))))))))))))</f>
        <v>0</v>
      </c>
      <c r="M3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Monate",ROUNDDOWN(L13+155*Programmdaten!U33,2),IF(Programmdaten!Y3="8 Monate",ROUNDDOWN(L13+155*Programmdaten!U33,2),IF(Programmdaten!Y3="9 Monate",ROUNDDOWN(L13+155*Programmdaten!U33,2),IF(Programmdaten!Y3="12 Monate",ROUNDDOWN(L13+155*Programmdaten!U33,2),"Zonk!"))))))))))))))))</f>
        <v>0</v>
      </c>
      <c r="N3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Monate",ROUNDDOWN(L13+156*Programmdaten!U33,2),IF(Programmdaten!Y3="8 Monate",ROUNDDOWN(L13+156*Programmdaten!U33,2),IF(Programmdaten!Y3="9 Monate",ROUNDDOWN(L13+156*Programmdaten!U33,2),IF(Programmdaten!Y3="12 Monate",ROUNDDOWN(L13+156*Programmdaten!U33,2),"Zonk!"))))))))))))))))</f>
        <v>0</v>
      </c>
      <c r="O3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Monate",ROUNDDOWN(L13+157*Programmdaten!U33,2),IF(Programmdaten!Y3="8 Monate",ROUNDDOWN(L13+157*Programmdaten!U33,2),IF(Programmdaten!Y3="9 Monate",ROUNDDOWN(L13+157*Programmdaten!U33,2),IF(Programmdaten!Y3="12 Monate",ROUNDDOWN(L13+157*Programmdaten!U33,2),"Zonk!"))))))))))))))))</f>
        <v>0</v>
      </c>
      <c r="P3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Monate",ROUNDDOWN(L13+158*Programmdaten!U33,2),IF(Programmdaten!Y3="8 Monate",ROUNDDOWN(L13+158*Programmdaten!U33,2),IF(Programmdaten!Y3="9 Monate",ROUNDDOWN(L13+158*Programmdaten!U33,2),IF(Programmdaten!Y3="12 Monate",ROUNDDOWN(L13+158*Programmdaten!U33,2),"Zonk!"))))))))))))))))</f>
        <v>0</v>
      </c>
      <c r="Q35"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Monate",ROUNDDOWN(L13+159*Programmdaten!U33,2),IF(Programmdaten!Y3="8 Monate",ROUNDDOWN(L13+159*Programmdaten!U33,2),IF(Programmdaten!Y3="9 Monate",ROUNDDOWN(L13+159*Programmdaten!U33,2),IF(Programmdaten!Y3="12 Monate",ROUNDDOWN(L13+159*Programmdaten!U33,2),"Zonk!"))))))))))))))))</f>
        <v>0</v>
      </c>
      <c r="R3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Monate",ROUNDDOWN(L13+160*Programmdaten!U33,2),IF(Programmdaten!Y3="8 Monate",ROUNDDOWN(L13+160*Programmdaten!U33,2),IF(Programmdaten!Y3="9 Monate",ROUNDDOWN(L13+160*Programmdaten!U33,2),IF(Programmdaten!Y3="12 Monate",ROUNDDOWN(L13+160*Programmdaten!U33,2),"Zonk!"))))))))))))))))</f>
        <v>0</v>
      </c>
      <c r="S35" s="44">
        <f t="shared" ca="1" si="0"/>
        <v>0</v>
      </c>
      <c r="V35" s="68">
        <f>IF(Programmdaten!U35+22&gt;52,-52+Programmdaten!U35+22,Programmdaten!U35+22)</f>
        <v>3</v>
      </c>
      <c r="W35" s="66">
        <f ca="1">IFERROR(ROUNDUP(SUMIF(K13:K64,IF(V35-Programmdaten!U9&lt;0,V35-Programmdaten!U9+52,V35-Programmdaten!U9),S13:S64),1),"")</f>
        <v>0</v>
      </c>
      <c r="X35" s="67">
        <f>IFERROR(ROUNDDOWN(SUMIF('Gewichts-Tabelle'!K16:K67,V35,'Gewichts-Tabelle'!S16:S67),1),"")</f>
        <v>0</v>
      </c>
    </row>
    <row r="36" spans="5:24" x14ac:dyDescent="0.25">
      <c r="E36" s="29"/>
      <c r="F36" s="29"/>
      <c r="G36" s="29"/>
      <c r="H36" s="29"/>
      <c r="I36" s="29"/>
      <c r="J36" s="29"/>
      <c r="K36" s="47">
        <v>23</v>
      </c>
      <c r="L3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Monate",ROUNDDOWN(L13+161*Programmdaten!U33,2),IF(Programmdaten!Y3="8 Monate",ROUNDDOWN(L13+161*Programmdaten!U33,2),IF(Programmdaten!Y3="9 Monate",ROUNDDOWN(L13+161*Programmdaten!U33,2),IF(Programmdaten!Y3="12 Monate",ROUNDDOWN(L13+161*Programmdaten!U33,2),"Zonk!"))))))))))))))))</f>
        <v>0</v>
      </c>
      <c r="M3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Monate",ROUNDDOWN(L13+162*Programmdaten!U33,2),IF(Programmdaten!Y3="8 Monate",ROUNDDOWN(L13+162*Programmdaten!U33,2),IF(Programmdaten!Y3="9 Monate",ROUNDDOWN(L13+162*Programmdaten!U33,2),IF(Programmdaten!Y3="12 Monate",ROUNDDOWN(L13+162*Programmdaten!U33,2),"Zonk!"))))))))))))))))</f>
        <v>0</v>
      </c>
      <c r="N3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Monate",ROUNDDOWN(L13+163*Programmdaten!U33,2),IF(Programmdaten!Y3="8 Monate",ROUNDDOWN(L13+163*Programmdaten!U33,2),IF(Programmdaten!Y3="9 Monate",ROUNDDOWN(L13+163*Programmdaten!U33,2),IF(Programmdaten!Y3="12 Monate",ROUNDDOWN(L13+163*Programmdaten!U33,2),"Zonk!"))))))))))))))))</f>
        <v>0</v>
      </c>
      <c r="O3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Monate",ROUNDDOWN(L13+164*Programmdaten!U33,2),IF(Programmdaten!Y3="8 Monate",ROUNDDOWN(L13+164*Programmdaten!U33,2),IF(Programmdaten!Y3="9 Monate",ROUNDDOWN(L13+164*Programmdaten!U33,2),IF(Programmdaten!Y3="12 Monate",ROUNDDOWN(L13+164*Programmdaten!U33,2),"Zonk!"))))))))))))))))</f>
        <v>0</v>
      </c>
      <c r="P3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Monate",ROUNDDOWN(L13+165*Programmdaten!U33,2),IF(Programmdaten!Y3="8 Monate",ROUNDDOWN(L13+165*Programmdaten!U33,2),IF(Programmdaten!Y3="9 Monate",ROUNDDOWN(L13+165*Programmdaten!U33,2),IF(Programmdaten!Y3="12 Monate",ROUNDDOWN(L13+165*Programmdaten!U33,2),"Zonk!"))))))))))))))))</f>
        <v>0</v>
      </c>
      <c r="Q36"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Monate",ROUNDDOWN(L13+166*Programmdaten!U33,2),IF(Programmdaten!Y3="8 Monate",ROUNDDOWN(L13+166*Programmdaten!U33,2),IF(Programmdaten!Y3="9 Monate",ROUNDDOWN(L13+166*Programmdaten!U33,2),IF(Programmdaten!Y3="12 Monate",ROUNDDOWN(L13+166*Programmdaten!U33,2),"Zonk!"))))))))))))))))</f>
        <v>0</v>
      </c>
      <c r="R3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Monate",ROUNDDOWN(L13+167*Programmdaten!U33,2),IF(Programmdaten!Y3="8 Monate",ROUNDDOWN(L13+167*Programmdaten!U33,2),IF(Programmdaten!Y3="9 Monate",ROUNDDOWN(L13+167*Programmdaten!U33,2),IF(Programmdaten!Y3="12 Monate",ROUNDDOWN(L13+167*Programmdaten!U33,2),"Zonk!"))))))))))))))))</f>
        <v>0</v>
      </c>
      <c r="S36" s="44">
        <f t="shared" ca="1" si="0"/>
        <v>0</v>
      </c>
      <c r="V36" s="68">
        <f>IF(Programmdaten!U35+23&gt;52,-52+Programmdaten!U35+23,Programmdaten!U35+23)</f>
        <v>4</v>
      </c>
      <c r="W36" s="66">
        <f ca="1">IFERROR(ROUNDUP(SUMIF(K13:K64,IF(V36-Programmdaten!U9&lt;0,V36-Programmdaten!U9+52,V36-Programmdaten!U9),S13:S64),1),"")</f>
        <v>0</v>
      </c>
      <c r="X36" s="67">
        <f>IFERROR(ROUNDDOWN(SUMIF('Gewichts-Tabelle'!K16:K67,V36,'Gewichts-Tabelle'!S16:S67),1),"")</f>
        <v>0</v>
      </c>
    </row>
    <row r="37" spans="5:24" x14ac:dyDescent="0.25">
      <c r="E37" s="29"/>
      <c r="F37" s="29"/>
      <c r="G37" s="29"/>
      <c r="H37" s="29"/>
      <c r="I37" s="29"/>
      <c r="J37" s="29"/>
      <c r="K37" s="47">
        <v>24</v>
      </c>
      <c r="L3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Monate",ROUNDDOWN(L13+168*Programmdaten!U33,2),IF(Programmdaten!Y3="8 Monate",ROUNDDOWN(L13+168*Programmdaten!U33,2),IF(Programmdaten!Y3="9 Monate",ROUNDDOWN(L13+168*Programmdaten!U33,2),IF(Programmdaten!Y3="12 Monate",ROUNDDOWN(L13+168*Programmdaten!U33,2),"Zonk!"))))))))))))))))</f>
        <v>0</v>
      </c>
      <c r="M3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Monate",ROUNDDOWN(L13+169*Programmdaten!U33,2),IF(Programmdaten!Y3="8 Monate",ROUNDDOWN(L13+169*Programmdaten!U33,2),IF(Programmdaten!Y3="9 Monate",ROUNDDOWN(L13+169*Programmdaten!U33,2),IF(Programmdaten!Y3="12 Monate",ROUNDDOWN(L13+169*Programmdaten!U33,2),"Zonk!"))))))))))))))))</f>
        <v>0</v>
      </c>
      <c r="N3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Monate",ROUNDDOWN(L13+170*Programmdaten!U33,2),IF(Programmdaten!Y3="8 Monate",ROUNDDOWN(L13+170*Programmdaten!U33,2),IF(Programmdaten!Y3="9 Monate",ROUNDDOWN(L13+170*Programmdaten!U33,2),IF(Programmdaten!Y3="12 Monate",ROUNDDOWN(L13+170*Programmdaten!U33,2),"Zonk!"))))))))))))))))</f>
        <v>0</v>
      </c>
      <c r="O3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Monate",ROUNDDOWN(L13+171*Programmdaten!U33,2),IF(Programmdaten!Y3="8 Monate",ROUNDDOWN(L13+171*Programmdaten!U33,2),IF(Programmdaten!Y3="9 Monate",ROUNDDOWN(L13+171*Programmdaten!U33,2),IF(Programmdaten!Y3="12 Monate",ROUNDDOWN(L13+171*Programmdaten!U33,2),"Zonk!"))))))))))))))))</f>
        <v>0</v>
      </c>
      <c r="P3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Monate",ROUNDDOWN(L13+172*Programmdaten!U33,2),IF(Programmdaten!Y3="8 Monate",ROUNDDOWN(L13+172*Programmdaten!U33,2),IF(Programmdaten!Y3="9 Monate",ROUNDDOWN(L13+172*Programmdaten!U33,2),IF(Programmdaten!Y3="12 Monate",ROUNDDOWN(L13+172*Programmdaten!U33,2),"Zonk!"))))))))))))))))</f>
        <v>0</v>
      </c>
      <c r="Q37"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Monate",ROUNDDOWN(L13+173*Programmdaten!U33,2),IF(Programmdaten!Y3="8 Monate",ROUNDDOWN(L13+173*Programmdaten!U33,2),IF(Programmdaten!Y3="9 Monate",ROUNDDOWN(L13+173*Programmdaten!U33,2),IF(Programmdaten!Y3="12 Monate",ROUNDDOWN(L13+173*Programmdaten!U33,2),"Zonk!"))))))))))))))))</f>
        <v>0</v>
      </c>
      <c r="R3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Monate",ROUNDDOWN(L13+174*Programmdaten!U33,2),IF(Programmdaten!Y3="8 Monate",ROUNDDOWN(L13+174*Programmdaten!U33,2),IF(Programmdaten!Y3="9 Monate",ROUNDDOWN(L13+174*Programmdaten!U33,2),IF(Programmdaten!Y3="12 Monate",ROUNDDOWN(L13+174*Programmdaten!U33,2),"Zonk!"))))))))))))))))</f>
        <v>0</v>
      </c>
      <c r="S37" s="44">
        <f t="shared" ca="1" si="0"/>
        <v>0</v>
      </c>
      <c r="V37" s="68">
        <f>IF(Programmdaten!U35+24&gt;52,-52+Programmdaten!U35+24,Programmdaten!U35+24)</f>
        <v>5</v>
      </c>
      <c r="W37" s="66">
        <f ca="1">IFERROR(ROUNDUP(SUMIF(K13:K64,IF(V37-Programmdaten!U9&lt;0,V37-Programmdaten!U9+52,V37-Programmdaten!U9),S13:S64),1),"")</f>
        <v>0</v>
      </c>
      <c r="X37" s="67">
        <f>IFERROR(ROUNDDOWN(SUMIF('Gewichts-Tabelle'!K16:K67,V37,'Gewichts-Tabelle'!S16:S67),1),"")</f>
        <v>0</v>
      </c>
    </row>
    <row r="38" spans="5:24" x14ac:dyDescent="0.25">
      <c r="K38" s="47">
        <v>25</v>
      </c>
      <c r="L3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Monate",ROUNDDOWN(L13+175*Programmdaten!U33,2),IF(Programmdaten!Y3="8 Monate",ROUNDDOWN(L13+175*Programmdaten!U33,2),IF(Programmdaten!Y3="9 Monate",ROUNDDOWN(L13+175*Programmdaten!U33,2),IF(Programmdaten!Y3="12 Monate",ROUNDDOWN(L13+175*Programmdaten!U33,2),"Zonk!"))))))))))))))))</f>
        <v>0</v>
      </c>
      <c r="M3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Monate",ROUNDDOWN(L13+176*Programmdaten!U33,2),IF(Programmdaten!Y3="8 Monate",ROUNDDOWN(L13+176*Programmdaten!U33,2),IF(Programmdaten!Y3="9 Monate",ROUNDDOWN(L13+176*Programmdaten!U33,2),IF(Programmdaten!Y3="12 Monate",ROUNDDOWN(L13+176*Programmdaten!U33,2),"Zonk!"))))))))))))))))</f>
        <v>0</v>
      </c>
      <c r="N3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Monate",ROUNDDOWN(L13+177*Programmdaten!U33,2),IF(Programmdaten!Y3="8 Monate",ROUNDDOWN(L13+177*Programmdaten!U33,2),IF(Programmdaten!Y3="9 Monate",ROUNDDOWN(L13+177*Programmdaten!U33,2),IF(Programmdaten!Y3="12 Monate",ROUNDDOWN(L13+177*Programmdaten!U33,2),"Zonk!"))))))))))))))))</f>
        <v>0</v>
      </c>
      <c r="O3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Monate",ROUNDDOWN(L13+178*Programmdaten!U33,2),IF(Programmdaten!Y3="8 Monate",ROUNDDOWN(L13+178*Programmdaten!U33,2),IF(Programmdaten!Y3="9 Monate",ROUNDDOWN(L13+178*Programmdaten!U33,2),IF(Programmdaten!Y3="12 Monate",ROUNDDOWN(L13+178*Programmdaten!U33,2),"Zonk!"))))))))))))))))</f>
        <v>0</v>
      </c>
      <c r="P3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Monate",ROUNDDOWN(L13+179*Programmdaten!U33,2),IF(Programmdaten!Y3="8 Monate",ROUNDDOWN(L13+179*Programmdaten!U33,2),IF(Programmdaten!Y3="9 Monate",ROUNDDOWN(L13+179*Programmdaten!U33,2),IF(Programmdaten!Y3="12 Monate",ROUNDDOWN(L13+179*Programmdaten!U33,2),"Zonk!"))))))))))))))))</f>
        <v>0</v>
      </c>
      <c r="Q38"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Monate",ROUNDDOWN(L13+180*Programmdaten!U33,2),IF(Programmdaten!Y3="8 Monate",ROUNDDOWN(L13+180*Programmdaten!U33,2),IF(Programmdaten!Y3="9 Monate",ROUNDDOWN(L13+180*Programmdaten!U33,2),IF(Programmdaten!Y3="12 Monate",ROUNDDOWN(L13+180*Programmdaten!U33,2),"Zonk!"))))))))))))))))</f>
        <v>0</v>
      </c>
      <c r="R3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Monate",ROUNDDOWN(L13+181*Programmdaten!U33,2),IF(Programmdaten!Y3="9 Monate",ROUNDDOWN(L13+181*Programmdaten!U33,2),IF(Programmdaten!Y3="12 Monate",ROUNDDOWN(L13+181*Programmdaten!U33,2),"Zonk!"))))))))))))))))</f>
        <v>0</v>
      </c>
      <c r="S38" s="44">
        <f t="shared" ca="1" si="0"/>
        <v>0</v>
      </c>
      <c r="V38" s="68">
        <f>IF(Programmdaten!U35+25&gt;52,-52+Programmdaten!U35+25,Programmdaten!U35+25)</f>
        <v>6</v>
      </c>
      <c r="W38" s="66">
        <f ca="1">IFERROR(ROUNDUP(SUMIF(K13:K64,IF(V38-Programmdaten!U9&lt;0,V38-Programmdaten!U9+52,V38-Programmdaten!U9),S13:S64),1),"")</f>
        <v>0</v>
      </c>
      <c r="X38" s="67">
        <f>IFERROR(ROUNDDOWN(SUMIF('Gewichts-Tabelle'!K16:K67,V38,'Gewichts-Tabelle'!S16:S67),1),"")</f>
        <v>0</v>
      </c>
    </row>
    <row r="39" spans="5:24" x14ac:dyDescent="0.25">
      <c r="K39" s="47">
        <v>26</v>
      </c>
      <c r="L3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Monate",ROUNDDOWN(L13+182*Programmdaten!U33,2),IF(Programmdaten!Y3="9 Monate",ROUNDDOWN(L13+182*Programmdaten!U33,2),IF(Programmdaten!Y3="12 Monate",ROUNDDOWN(L13+182*Programmdaten!U33,2),"Zonk!"))))))))))))))))</f>
        <v>0</v>
      </c>
      <c r="M3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Monate",ROUNDDOWN(L13+183*Programmdaten!U33,2),IF(Programmdaten!Y3="9 Monate",ROUNDDOWN(L13+183*Programmdaten!U33,2),IF(Programmdaten!Y3="12 Monate",ROUNDDOWN(L13+183*Programmdaten!U33,2),"Zonk!"))))))))))))))))</f>
        <v>0</v>
      </c>
      <c r="N3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Monate",ROUNDDOWN(L13+184*Programmdaten!U33,2),IF(Programmdaten!Y3="9 Monate",ROUNDDOWN(L13+184*Programmdaten!U33,2),IF(Programmdaten!Y3="12 Monate",ROUNDDOWN(L13+184*Programmdaten!U33,2),"Zonk!"))))))))))))))))</f>
        <v>0</v>
      </c>
      <c r="O3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Monate",ROUNDDOWN(L13+185*Programmdaten!U33,2),IF(Programmdaten!Y3="9 Monate",ROUNDDOWN(L13+185*Programmdaten!U33,2),IF(Programmdaten!Y3="12 Monate",ROUNDDOWN(L13+185*Programmdaten!U33,2),"Zonk!"))))))))))))))))</f>
        <v>0</v>
      </c>
      <c r="P3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Monate",ROUNDDOWN(L13+186*Programmdaten!U33,2),IF(Programmdaten!Y3="9 Monate",ROUNDDOWN(L13+186*Programmdaten!U33,2),IF(Programmdaten!Y3="12 Monate",ROUNDDOWN(L13+186*Programmdaten!U33,2),"Zonk!"))))))))))))))))</f>
        <v>0</v>
      </c>
      <c r="Q39"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Monate",ROUNDDOWN(L13+187*Programmdaten!U33,2),IF(Programmdaten!Y3="9 Monate",ROUNDDOWN(L13+187*Programmdaten!U33,2),IF(Programmdaten!Y3="12 Monate",ROUNDDOWN(L13+187*Programmdaten!U33,2),"Zonk!"))))))))))))))))</f>
        <v>0</v>
      </c>
      <c r="R3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Monate",ROUNDDOWN(L13+188*Programmdaten!U33,2),IF(Programmdaten!Y3="9 Monate",ROUNDDOWN(L13+188*Programmdaten!U33,2),IF(Programmdaten!Y3="12 Monate",ROUNDDOWN(L13+188*Programmdaten!U33,2),"Zonk!"))))))))))))))))</f>
        <v>0</v>
      </c>
      <c r="S39" s="44">
        <f t="shared" ca="1" si="0"/>
        <v>0</v>
      </c>
      <c r="V39" s="68">
        <f>IF(Programmdaten!U35+26&gt;52,-52+Programmdaten!U35+26,Programmdaten!U35+26)</f>
        <v>7</v>
      </c>
      <c r="W39" s="66">
        <f ca="1">IFERROR(ROUNDUP(SUMIF(K13:K64,IF(V39-Programmdaten!U9&lt;0,V39-Programmdaten!U9+52,V39-Programmdaten!U9),S13:S64),1),"")</f>
        <v>0</v>
      </c>
      <c r="X39" s="67">
        <f>IFERROR(ROUNDDOWN(SUMIF('Gewichts-Tabelle'!K16:K67,V39,'Gewichts-Tabelle'!S16:S67),1),"")</f>
        <v>0</v>
      </c>
    </row>
    <row r="40" spans="5:24" x14ac:dyDescent="0.25">
      <c r="K40" s="47">
        <v>27</v>
      </c>
      <c r="L4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Monate",ROUNDDOWN(L13+189*Programmdaten!U33,2),IF(Programmdaten!Y3="9 Monate",ROUNDDOWN(L13+189*Programmdaten!U33,2),IF(Programmdaten!Y3="12 Monate",ROUNDDOWN(L13+189*Programmdaten!U33,2),"Zonk!"))))))))))))))))</f>
        <v>0</v>
      </c>
      <c r="M4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Monate",ROUNDDOWN(L13+190*Programmdaten!U33,2),IF(Programmdaten!Y3="9 Monate",ROUNDDOWN(L13+190*Programmdaten!U33,2),IF(Programmdaten!Y3="12 Monate",ROUNDDOWN(L13+190*Programmdaten!U33,2),"Zonk!"))))))))))))))))</f>
        <v>0</v>
      </c>
      <c r="N4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Monate",ROUNDDOWN(L13+191*Programmdaten!U33,2),IF(Programmdaten!Y3="9 Monate",ROUNDDOWN(L13+191*Programmdaten!U33,2),IF(Programmdaten!Y3="12 Monate",ROUNDDOWN(L13+191*Programmdaten!U33,2),"Zonk!"))))))))))))))))</f>
        <v>0</v>
      </c>
      <c r="O4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Monate",ROUNDDOWN(L13+192*Programmdaten!U33,2),IF(Programmdaten!Y3="9 Monate",ROUNDDOWN(L13+192*Programmdaten!U33,2),IF(Programmdaten!Y3="12 Monate",ROUNDDOWN(L13+192*Programmdaten!U33,2),"Zonk!"))))))))))))))))</f>
        <v>0</v>
      </c>
      <c r="P4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Monate",ROUNDDOWN(L13+193*Programmdaten!U33,2),IF(Programmdaten!Y3="9 Monate",ROUNDDOWN(L13+193*Programmdaten!U33,2),IF(Programmdaten!Y3="12 Monate",ROUNDDOWN(L13+193*Programmdaten!U33,2),"Zonk!"))))))))))))))))</f>
        <v>0</v>
      </c>
      <c r="Q40"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Monate",ROUNDDOWN(L13+194*Programmdaten!U33,2),IF(Programmdaten!Y3="9 Monate",ROUNDDOWN(L13+194*Programmdaten!U33,2),IF(Programmdaten!Y3="12 Monate",ROUNDDOWN(L13+194*Programmdaten!U33,2),"Zonk!"))))))))))))))))</f>
        <v>0</v>
      </c>
      <c r="R4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Monate",ROUNDDOWN(L13+195*Programmdaten!U33,2),IF(Programmdaten!Y3="9 Monate",ROUNDDOWN(L13+195*Programmdaten!U33,2),IF(Programmdaten!Y3="12 Monate",ROUNDDOWN(L13+195*Programmdaten!U33,2),"Zonk!"))))))))))))))))</f>
        <v>0</v>
      </c>
      <c r="S40" s="44">
        <f t="shared" ca="1" si="0"/>
        <v>0</v>
      </c>
      <c r="V40" s="68">
        <f>IF(Programmdaten!U35+27&gt;52,-52+Programmdaten!U35+27,Programmdaten!U35+27)</f>
        <v>8</v>
      </c>
      <c r="W40" s="66">
        <f ca="1">IFERROR(ROUNDUP(SUMIF(K13:K64,IF(V40-Programmdaten!U9&lt;0,V40-Programmdaten!U9+52,V40-Programmdaten!U9),S13:S64),1),"")</f>
        <v>0</v>
      </c>
      <c r="X40" s="67">
        <f>IFERROR(ROUNDDOWN(SUMIF('Gewichts-Tabelle'!K16:K67,V40,'Gewichts-Tabelle'!S16:S67),1),"")</f>
        <v>0</v>
      </c>
    </row>
    <row r="41" spans="5:24" x14ac:dyDescent="0.25">
      <c r="K41" s="47">
        <v>28</v>
      </c>
      <c r="L4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Monate",ROUNDDOWN(L13+196*Programmdaten!U33,2),IF(Programmdaten!Y3="9 Monate",ROUNDDOWN(L13+196*Programmdaten!U33,2),IF(Programmdaten!Y3="12 Monate",ROUNDDOWN(L13+196*Programmdaten!U33,2),"Zonk!"))))))))))))))))</f>
        <v>0</v>
      </c>
      <c r="M4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Monate",ROUNDDOWN(L13+197*Programmdaten!U33,2),IF(Programmdaten!Y3="9 Monate",ROUNDDOWN(L13+197*Programmdaten!U33,2),IF(Programmdaten!Y3="12 Monate",ROUNDDOWN(L13+197*Programmdaten!U33,2),"Zonk!"))))))))))))))))</f>
        <v>0</v>
      </c>
      <c r="N4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Monate",ROUNDDOWN(L13+198*Programmdaten!U33,2),IF(Programmdaten!Y3="9 Monate",ROUNDDOWN(L13+198*Programmdaten!U33,2),IF(Programmdaten!Y3="12 Monate",ROUNDDOWN(L13+198*Programmdaten!U33,2),"Zonk!"))))))))))))))))</f>
        <v>0</v>
      </c>
      <c r="O4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Monate",ROUNDDOWN(L13+199*Programmdaten!U33,2),IF(Programmdaten!Y3="9 Monate",ROUNDDOWN(L13+199*Programmdaten!U33,2),IF(Programmdaten!Y3="12 Monate",ROUNDDOWN(L13+199*Programmdaten!U33,2),"Zonk!"))))))))))))))))</f>
        <v>0</v>
      </c>
      <c r="P4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Monate",ROUNDDOWN(L13+200*Programmdaten!U33,2),IF(Programmdaten!Y3="9 Monate",ROUNDDOWN(L13+200*Programmdaten!U33,2),IF(Programmdaten!Y3="12 Monate",ROUNDDOWN(L13+200*Programmdaten!U33,2),"Zonk!"))))))))))))))))</f>
        <v>0</v>
      </c>
      <c r="Q41"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Monate",ROUNDDOWN(L13+201*Programmdaten!U33,2),IF(Programmdaten!Y3="9 Monate",ROUNDDOWN(L13+201*Programmdaten!U33,2),IF(Programmdaten!Y3="12 Monate",ROUNDDOWN(L13+201*Programmdaten!U33,2),"Zonk!"))))))))))))))))</f>
        <v>0</v>
      </c>
      <c r="R4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Monate",ROUNDDOWN(L13+202*Programmdaten!U33,2),IF(Programmdaten!Y3="9 Monate",ROUNDDOWN(L13+202*Programmdaten!U33,2),IF(Programmdaten!Y3="12 Monate",ROUNDDOWN(L13+202*Programmdaten!U33,2),"Zonk!"))))))))))))))))</f>
        <v>0</v>
      </c>
      <c r="S41" s="44">
        <f t="shared" ca="1" si="0"/>
        <v>0</v>
      </c>
      <c r="V41" s="68">
        <f>IF(Programmdaten!U35+28&gt;52,-52+Programmdaten!U35+28,Programmdaten!U35+28)</f>
        <v>9</v>
      </c>
      <c r="W41" s="66">
        <f ca="1">IFERROR(ROUNDUP(SUMIF(K13:K64,IF(V41-Programmdaten!U9&lt;0,V41-Programmdaten!U9+52,V41-Programmdaten!U9),S13:S64),1),"")</f>
        <v>0</v>
      </c>
      <c r="X41" s="67">
        <f>IFERROR(ROUNDDOWN(SUMIF('Gewichts-Tabelle'!K16:K67,V41,'Gewichts-Tabelle'!S16:S67),1),"")</f>
        <v>0</v>
      </c>
    </row>
    <row r="42" spans="5:24" x14ac:dyDescent="0.25">
      <c r="K42" s="47">
        <v>29</v>
      </c>
      <c r="L4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Monate",ROUNDDOWN(L13+203*Programmdaten!U33,2),IF(Programmdaten!Y3="9 Monate",ROUNDDOWN(L13+203*Programmdaten!U33,2),IF(Programmdaten!Y3="12 Monate",ROUNDDOWN(L13+203*Programmdaten!U33,2),"Zonk!"))))))))))))))))</f>
        <v>0</v>
      </c>
      <c r="M4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Monate",ROUNDDOWN(L13+204*Programmdaten!U33,2),IF(Programmdaten!Y3="9 Monate",ROUNDDOWN(L13+204*Programmdaten!U33,2),IF(Programmdaten!Y3="12 Monate",ROUNDDOWN(L13+204*Programmdaten!U33,2),"Zonk!"))))))))))))))))</f>
        <v>0</v>
      </c>
      <c r="N4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Monate",ROUNDDOWN(L13+205*Programmdaten!U33,2),IF(Programmdaten!Y3="9 Monate",ROUNDDOWN(L13+205*Programmdaten!U33,2),IF(Programmdaten!Y3="12 Monate",ROUNDDOWN(L13+205*Programmdaten!U33,2),"Zonk!"))))))))))))))))</f>
        <v>0</v>
      </c>
      <c r="O4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Monate",ROUNDDOWN(L13+206*Programmdaten!U33,2),IF(Programmdaten!Y3="9 Monate",ROUNDDOWN(L13+206*Programmdaten!U33,2),IF(Programmdaten!Y3="12 Monate",ROUNDDOWN(L13+206*Programmdaten!U33,2),"Zonk!"))))))))))))))))</f>
        <v>0</v>
      </c>
      <c r="P4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Monate",ROUNDDOWN(L13+207*Programmdaten!U33,2),IF(Programmdaten!Y3="9 Monate",ROUNDDOWN(L13+207*Programmdaten!U33,2),IF(Programmdaten!Y3="12 Monate",ROUNDDOWN(L13+207*Programmdaten!U33,2),"Zonk!"))))))))))))))))</f>
        <v>0</v>
      </c>
      <c r="Q42"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Monate",ROUNDDOWN(L13+208*Programmdaten!U33,2),IF(Programmdaten!Y3="9 Monate",ROUNDDOWN(L13+208*Programmdaten!U33,2),IF(Programmdaten!Y3="12 Monate",ROUNDDOWN(L13+208*Programmdaten!U33,2),"Zonk!"))))))))))))))))</f>
        <v>0</v>
      </c>
      <c r="R4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Monate",ROUNDDOWN(L13+209*Programmdaten!U33,2),IF(Programmdaten!Y3="9 Monate",ROUNDDOWN(L13+209*Programmdaten!U33,2),IF(Programmdaten!Y3="12 Monate",ROUNDDOWN(L13+209*Programmdaten!U33,2),"Zonk!"))))))))))))))))</f>
        <v>0</v>
      </c>
      <c r="S42" s="44">
        <f t="shared" ca="1" si="0"/>
        <v>0</v>
      </c>
      <c r="V42" s="68">
        <f>IF(Programmdaten!U35+29&gt;52,-52+Programmdaten!U35+29,Programmdaten!U35+29)</f>
        <v>10</v>
      </c>
      <c r="W42" s="66">
        <f ca="1">IFERROR(ROUNDUP(SUMIF(K13:K64,IF(V42-Programmdaten!U9&lt;0,V42-Programmdaten!U9+52,V42-Programmdaten!U9),S13:S64),1),"")</f>
        <v>0</v>
      </c>
      <c r="X42" s="67">
        <f>IFERROR(ROUNDDOWN(SUMIF('Gewichts-Tabelle'!K16:K67,V42,'Gewichts-Tabelle'!S16:S67),1),"")</f>
        <v>0</v>
      </c>
    </row>
    <row r="43" spans="5:24" x14ac:dyDescent="0.25">
      <c r="K43" s="47">
        <v>30</v>
      </c>
      <c r="L4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Monate",ROUNDDOWN(L13+210*Programmdaten!U33,2),IF(Programmdaten!Y3="9 Monate",ROUNDDOWN(L13+210*Programmdaten!U33,2),IF(Programmdaten!Y3="12 Monate",ROUNDDOWN(L13+210*Programmdaten!U33,2),"Zonk!"))))))))))))))))</f>
        <v>0</v>
      </c>
      <c r="M4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Monate",ROUNDDOWN(L13+211*Programmdaten!U33,2),IF(Programmdaten!Y3="9 Monate",ROUNDDOWN(L13+211*Programmdaten!U33,2),IF(Programmdaten!Y3="12 Monate",ROUNDDOWN(L13+211*Programmdaten!U33,2),"Zonk!"))))))))))))))))</f>
        <v>0</v>
      </c>
      <c r="N4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Monate",ROUNDDOWN(L13+212*Programmdaten!U33,2),IF(Programmdaten!Y3="9 Monate",ROUNDDOWN(L13+212*Programmdaten!U33,2),IF(Programmdaten!Y3="12 Monate",ROUNDDOWN(L13+212*Programmdaten!U33,2),"Zonk!"))))))))))))))))</f>
        <v>0</v>
      </c>
      <c r="O4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Monate",ROUNDDOWN(L13+213*Programmdaten!U33,2),IF(Programmdaten!Y3="9 Monate",ROUNDDOWN(L13+213*Programmdaten!U33,2),IF(Programmdaten!Y3="12 Monate",ROUNDDOWN(L13+213*Programmdaten!U33,2),"Zonk!"))))))))))))))))</f>
        <v>0</v>
      </c>
      <c r="P4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Monate",ROUNDDOWN(L13+214*Programmdaten!U33,2),IF(Programmdaten!Y3="9 Monate",ROUNDDOWN(L13+214*Programmdaten!U33,2),IF(Programmdaten!Y3="12 Monate",ROUNDDOWN(L13+214*Programmdaten!U33,2),"Zonk!"))))))))))))))))</f>
        <v>0</v>
      </c>
      <c r="Q43" s="46">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Monate",ROUNDDOWN(L13+215*Programmdaten!U33,2),IF(Programmdaten!Y3="9 Monate",ROUNDDOWN(L13+215*Programmdaten!U33,2),IF(Programmdaten!Y3="12 Monate",ROUNDDOWN(L13+215*Programmdaten!U33,2),"Zonk!"))))))))))))))))</f>
        <v>0</v>
      </c>
      <c r="R4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Monate",ROUNDDOWN(L13+216*Programmdaten!U33,2),IF(Programmdaten!Y3="9 Monate",ROUNDDOWN(L13+216*Programmdaten!U33,2),IF(Programmdaten!Y3="12 Monate",ROUNDDOWN(L13+216*Programmdaten!U33,2),"Zonk!"))))))))))))))))</f>
        <v>0</v>
      </c>
      <c r="S43" s="44">
        <f t="shared" ca="1" si="0"/>
        <v>0</v>
      </c>
      <c r="V43" s="68">
        <f>IF(Programmdaten!U35+30&gt;52,-52+Programmdaten!U35+30,Programmdaten!U35+30)</f>
        <v>11</v>
      </c>
      <c r="W43" s="66">
        <f ca="1">IFERROR(ROUNDUP(SUMIF(K13:K64,IF(V43-Programmdaten!U9&lt;0,V43-Programmdaten!U9+52,V43-Programmdaten!U9),S13:S64),1),"")</f>
        <v>0</v>
      </c>
      <c r="X43" s="67">
        <f>IFERROR(ROUNDDOWN(SUMIF('Gewichts-Tabelle'!K16:K67,V43,'Gewichts-Tabelle'!S16:S67),1),"")</f>
        <v>0</v>
      </c>
    </row>
    <row r="44" spans="5:24" x14ac:dyDescent="0.25">
      <c r="K44" s="47">
        <v>31</v>
      </c>
      <c r="L4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Monate",ROUNDDOWN(L13+217*Programmdaten!U33,2),IF(Programmdaten!Y3="9 Monate",ROUNDDOWN(L13+217*Programmdaten!U33,2),IF(Programmdaten!Y3="12 Monate",ROUNDDOWN(L13+217*Programmdaten!U33,2),"Zonk!"))))))))))))))))</f>
        <v>0</v>
      </c>
      <c r="M4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Monate",ROUNDDOWN(L13+218*Programmdaten!U33,2),IF(Programmdaten!Y3="9 Monate",ROUNDDOWN(L13+218*Programmdaten!U33,2),IF(Programmdaten!Y3="12 Monate",ROUNDDOWN(L13+218*Programmdaten!U33,2),"Zonk!"))))))))))))))))</f>
        <v>0</v>
      </c>
      <c r="N4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Monate",ROUNDDOWN(L13+219*Programmdaten!U33,2),IF(Programmdaten!Y3="9 Monate",ROUNDDOWN(L13+219*Programmdaten!U33,2),IF(Programmdaten!Y3="12 Monate",ROUNDDOWN(L13+219*Programmdaten!U33,2),"Zonk!"))))))))))))))))</f>
        <v>0</v>
      </c>
      <c r="O4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Monate",ROUNDDOWN(L13+220*Programmdaten!U33,2),IF(Programmdaten!Y3="9 Monate",ROUNDDOWN(L13+220*Programmdaten!U33,2),IF(Programmdaten!Y3="12 Monate",ROUNDDOWN(L13+220*Programmdaten!U33,2),"Zonk!"))))))))))))))))</f>
        <v>0</v>
      </c>
      <c r="P4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Monate",ROUNDDOWN(L13+221*Programmdaten!U33,2),IF(Programmdaten!Y3="9 Monate",ROUNDDOWN(L13+221*Programmdaten!U33,2),IF(Programmdaten!Y3="12 Monate",ROUNDDOWN(L13+221*Programmdaten!U33,2),"Zonk!"))))))))))))))))</f>
        <v>0</v>
      </c>
      <c r="Q4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Monate",ROUNDDOWN(L13+222*Programmdaten!U33,2),IF(Programmdaten!Y3="9 Monate",ROUNDDOWN(L13+222*Programmdaten!U33,2),IF(Programmdaten!Y3="12 Monate",ROUNDDOWN(L13+222*Programmdaten!U33,2),"Zonk!"))))))))))))))))</f>
        <v>0</v>
      </c>
      <c r="R4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Monate",ROUNDDOWN(L13+223*Programmdaten!U33,2),IF(Programmdaten!Y3="9 Monate",ROUNDDOWN(L13+223*Programmdaten!U33,2),IF(Programmdaten!Y3="12 Monate",ROUNDDOWN(L13+223*Programmdaten!U33,2),"Zonk!"))))))))))))))))</f>
        <v>0</v>
      </c>
      <c r="S44" s="44">
        <f t="shared" ca="1" si="0"/>
        <v>0</v>
      </c>
      <c r="V44" s="68">
        <f>IF(Programmdaten!U35+31&gt;52,-52+Programmdaten!U35+31,Programmdaten!U35+31)</f>
        <v>12</v>
      </c>
      <c r="W44" s="66">
        <f ca="1">IFERROR(ROUNDUP(SUMIF(K13:K64,IF(V44-Programmdaten!U9&lt;0,V44-Programmdaten!U9+52,V44-Programmdaten!U9),S13:S64),1),"")</f>
        <v>0</v>
      </c>
      <c r="X44" s="67">
        <f>IFERROR(ROUNDDOWN(SUMIF('Gewichts-Tabelle'!K16:K67,V44,'Gewichts-Tabelle'!S16:S67),1),"")</f>
        <v>0</v>
      </c>
    </row>
    <row r="45" spans="5:24" x14ac:dyDescent="0.25">
      <c r="K45" s="47">
        <v>32</v>
      </c>
      <c r="L4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Monate",ROUNDDOWN(L13+224*Programmdaten!U33,2),IF(Programmdaten!Y3="9 Monate",ROUNDDOWN(L13+224*Programmdaten!U33,2),IF(Programmdaten!Y3="12 Monate",ROUNDDOWN(L13+224*Programmdaten!U33,2),"Zonk!"))))))))))))))))</f>
        <v>0</v>
      </c>
      <c r="M4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Monate",ROUNDDOWN(L13+225*Programmdaten!U33,2),IF(Programmdaten!Y3="9 Monate",ROUNDDOWN(L13+225*Programmdaten!U33,2),IF(Programmdaten!Y3="12 Monate",ROUNDDOWN(L13+225*Programmdaten!U33,2),"Zonk!"))))))))))))))))</f>
        <v>0</v>
      </c>
      <c r="N4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Monate",ROUNDDOWN(L13+226*Programmdaten!U33,2),IF(Programmdaten!Y3="9 Monate",ROUNDDOWN(L13+226*Programmdaten!U33,2),IF(Programmdaten!Y3="12 Monate",ROUNDDOWN(L13+226*Programmdaten!U33,2),"Zonk!"))))))))))))))))</f>
        <v>0</v>
      </c>
      <c r="O4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Monate",ROUNDDOWN(L13+227*Programmdaten!U33,2),IF(Programmdaten!Y3="9 Monate",ROUNDDOWN(L13+227*Programmdaten!U33,2),IF(Programmdaten!Y3="12 Monate",ROUNDDOWN(L13+227*Programmdaten!U33,2),"Zonk!"))))))))))))))))</f>
        <v>0</v>
      </c>
      <c r="P4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Monate",ROUNDDOWN(L13+228*Programmdaten!U33,2),IF(Programmdaten!Y3="9 Monate",ROUNDDOWN(L13+228*Programmdaten!U33,2),IF(Programmdaten!Y3="12 Monate",ROUNDDOWN(L13+228*Programmdaten!U33,2),"Zonk!"))))))))))))))))</f>
        <v>0</v>
      </c>
      <c r="Q4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Monate",ROUNDDOWN(L13+229*Programmdaten!U33,2),IF(Programmdaten!Y3="9 Monate",ROUNDDOWN(L13+229*Programmdaten!U33,2),IF(Programmdaten!Y3="12 Monate",ROUNDDOWN(L13+229*Programmdaten!U33,2),"Zonk!"))))))))))))))))</f>
        <v>0</v>
      </c>
      <c r="R4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Monate",ROUNDDOWN(L13+230*Programmdaten!U33,2),IF(Programmdaten!Y3="9 Monate",ROUNDDOWN(L13+230*Programmdaten!U33,2),IF(Programmdaten!Y3="12 Monate",ROUNDDOWN(L13+230*Programmdaten!U33,2),"Zonk!"))))))))))))))))</f>
        <v>0</v>
      </c>
      <c r="S45" s="44">
        <f t="shared" ca="1" si="0"/>
        <v>0</v>
      </c>
      <c r="V45" s="68">
        <f>IF(Programmdaten!U35+32&gt;52,-52+Programmdaten!U35+32,Programmdaten!U35+32)</f>
        <v>13</v>
      </c>
      <c r="W45" s="66">
        <f ca="1">IFERROR(ROUNDUP(SUMIF(K13:K64,IF(V45-Programmdaten!U9&lt;0,V45-Programmdaten!U9+52,V45-Programmdaten!U9),S13:S64),1),"")</f>
        <v>0</v>
      </c>
      <c r="X45" s="67">
        <f>IFERROR(ROUNDDOWN(SUMIF('Gewichts-Tabelle'!K16:K67,V45,'Gewichts-Tabelle'!S16:S67),1),"")</f>
        <v>0</v>
      </c>
    </row>
    <row r="46" spans="5:24" x14ac:dyDescent="0.25">
      <c r="K46" s="47">
        <v>33</v>
      </c>
      <c r="L4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Monate",ROUNDDOWN(L13+231*Programmdaten!U33,2),IF(Programmdaten!Y3="9 Monate",ROUNDDOWN(L13+231*Programmdaten!U33,2),IF(Programmdaten!Y3="12 Monate",ROUNDDOWN(L13+231*Programmdaten!U33,2),"Zonk!"))))))))))))))))</f>
        <v>0</v>
      </c>
      <c r="M4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Monate",ROUNDDOWN(L13+232*Programmdaten!U33,2),IF(Programmdaten!Y3="9 Monate",ROUNDDOWN(L13+232*Programmdaten!U33,2),IF(Programmdaten!Y3="12 Monate",ROUNDDOWN(L13+232*Programmdaten!U33,2),"Zonk!"))))))))))))))))</f>
        <v>0</v>
      </c>
      <c r="N4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Monate",ROUNDDOWN(L13+233*Programmdaten!U33,2),IF(Programmdaten!Y3="9 Monate",ROUNDDOWN(L13+233*Programmdaten!U33,2),IF(Programmdaten!Y3="12 Monate",ROUNDDOWN(L13+233*Programmdaten!U33,2),"Zonk!"))))))))))))))))</f>
        <v>0</v>
      </c>
      <c r="O4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Monate",ROUNDDOWN(L13+234*Programmdaten!U33,2),IF(Programmdaten!Y3="9 Monate",ROUNDDOWN(L13+234*Programmdaten!U33,2),IF(Programmdaten!Y3="12 Monate",ROUNDDOWN(L13+234*Programmdaten!U33,2),"Zonk!"))))))))))))))))</f>
        <v>0</v>
      </c>
      <c r="P4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Monate",ROUNDDOWN(L13+235*Programmdaten!U33,2),IF(Programmdaten!Y3="9 Monate",ROUNDDOWN(L13+235*Programmdaten!U33,2),IF(Programmdaten!Y3="12 Monate",ROUNDDOWN(L13+235*Programmdaten!U33,2),"Zonk!"))))))))))))))))</f>
        <v>0</v>
      </c>
      <c r="Q4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Monate",ROUNDDOWN(L13+236*Programmdaten!U33,2),IF(Programmdaten!Y3="9 Monate",ROUNDDOWN(L13+236*Programmdaten!U33,2),IF(Programmdaten!Y3="12 Monate",ROUNDDOWN(L13+236*Programmdaten!U33,2),"Zonk!"))))))))))))))))</f>
        <v>0</v>
      </c>
      <c r="R4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Monate",ROUNDDOWN(L13+237*Programmdaten!U33,2),IF(Programmdaten!Y3="9 Monate",ROUNDDOWN(L13+237*Programmdaten!U33,2),IF(Programmdaten!Y3="12 Monate",ROUNDDOWN(L13+237*Programmdaten!U33,2),"Zonk!"))))))))))))))))</f>
        <v>0</v>
      </c>
      <c r="S46" s="44">
        <f t="shared" ca="1" si="0"/>
        <v>0</v>
      </c>
      <c r="V46" s="68">
        <f>IF(Programmdaten!U35+33&gt;52,-52+Programmdaten!U35+33,Programmdaten!U35+33)</f>
        <v>14</v>
      </c>
      <c r="W46" s="66">
        <f ca="1">IFERROR(ROUNDUP(SUMIF(K13:K64,IF(V46-Programmdaten!U9&lt;0,V46-Programmdaten!U9+52,V46-Programmdaten!U9),S13:S64),1),"")</f>
        <v>0</v>
      </c>
      <c r="X46" s="67">
        <f>IFERROR(ROUNDDOWN(SUMIF('Gewichts-Tabelle'!K16:K67,V46,'Gewichts-Tabelle'!S16:S67),1),"")</f>
        <v>0</v>
      </c>
    </row>
    <row r="47" spans="5:24" x14ac:dyDescent="0.25">
      <c r="K47" s="47">
        <v>34</v>
      </c>
      <c r="L4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Monate",ROUNDDOWN(L13+238*Programmdaten!U33,2),IF(Programmdaten!Y3="9 Monate",ROUNDDOWN(L13+238*Programmdaten!U33,2),IF(Programmdaten!Y3="12 Monate",ROUNDDOWN(L13+238*Programmdaten!U33,2),"Zonk!"))))))))))))))))</f>
        <v>0</v>
      </c>
      <c r="M4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Monate",ROUNDDOWN(L13+239*Programmdaten!U33,2),IF(Programmdaten!Y3="9 Monate",ROUNDDOWN(L13+239*Programmdaten!U33,2),IF(Programmdaten!Y3="12 Monate",ROUNDDOWN(L13+239*Programmdaten!U33,2),"Zonk!"))))))))))))))))</f>
        <v>0</v>
      </c>
      <c r="N4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Monate",ROUNDDOWN(L13+240*Programmdaten!U33,2),IF(Programmdaten!Y3="9 Monate",ROUNDDOWN(L13+240*Programmdaten!U33,2),IF(Programmdaten!Y3="12 Monate",ROUNDDOWN(L13+240*Programmdaten!U33,2),"Zonk!"))))))))))))))))</f>
        <v>0</v>
      </c>
      <c r="O4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Monate",ROUNDDOWN(L13+241*Programmdaten!U33,2),IF(Programmdaten!Y3="12 Monate",ROUNDDOWN(L13+241*Programmdaten!U33,2),"Zonk!"))))))))))))))))</f>
        <v>0</v>
      </c>
      <c r="P4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Monate",ROUNDDOWN(L13+242*Programmdaten!U33,2),IF(Programmdaten!Y3="12 Monate",ROUNDDOWN(L13+242*Programmdaten!U33,2),"Zonk!"))))))))))))))))</f>
        <v>0</v>
      </c>
      <c r="Q4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Monate",ROUNDDOWN(L13+243*Programmdaten!U33,2),IF(Programmdaten!Y3="12 Monate",ROUNDDOWN(L13+243*Programmdaten!U33,2),"Zonk!"))))))))))))))))</f>
        <v>0</v>
      </c>
      <c r="R4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Monate",ROUNDDOWN(L13+244*Programmdaten!U33,2),IF(Programmdaten!Y3="12 Monate",ROUNDDOWN(L13+244*Programmdaten!U33,2),"Zonk!"))))))))))))))))</f>
        <v>0</v>
      </c>
      <c r="S47" s="44">
        <f t="shared" ca="1" si="0"/>
        <v>0</v>
      </c>
      <c r="V47" s="68">
        <f>IF(Programmdaten!U35+34&gt;52,-52+Programmdaten!U35+34,Programmdaten!U35+34)</f>
        <v>15</v>
      </c>
      <c r="W47" s="66">
        <f ca="1">IFERROR(ROUNDUP(SUMIF(K13:K64,IF(V47-Programmdaten!U9&lt;0,V47-Programmdaten!U9+52,V47-Programmdaten!U9),S13:S64),1),"")</f>
        <v>0</v>
      </c>
      <c r="X47" s="67">
        <f>IFERROR(ROUNDDOWN(SUMIF('Gewichts-Tabelle'!K16:K67,V47,'Gewichts-Tabelle'!S16:S67),1),"")</f>
        <v>0</v>
      </c>
    </row>
    <row r="48" spans="5:24" x14ac:dyDescent="0.25">
      <c r="K48" s="47">
        <v>35</v>
      </c>
      <c r="L4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Monate",ROUNDDOWN(L13+245*Programmdaten!U33,2),IF(Programmdaten!Y3="12 Monate",ROUNDDOWN(L13+245*Programmdaten!U33,2),"Zonk!"))))))))))))))))</f>
        <v>0</v>
      </c>
      <c r="M4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Monate",ROUNDDOWN(L13+246*Programmdaten!U33,2),IF(Programmdaten!Y3="12 Monate",ROUNDDOWN(L13+246*Programmdaten!U33,2),"Zonk!"))))))))))))))))</f>
        <v>0</v>
      </c>
      <c r="N4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Monate",ROUNDDOWN(L13+247*Programmdaten!U33,2),IF(Programmdaten!Y3="12 Monate",ROUNDDOWN(L13+247*Programmdaten!U33,2),"Zonk!"))))))))))))))))</f>
        <v>0</v>
      </c>
      <c r="O4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Monate",ROUNDDOWN(L13+248*Programmdaten!U33,2),IF(Programmdaten!Y3="12 Monate",ROUNDDOWN(L13+248*Programmdaten!U33,2),"Zonk!"))))))))))))))))</f>
        <v>0</v>
      </c>
      <c r="P4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Monate",ROUNDDOWN(L13+249*Programmdaten!U33,2),IF(Programmdaten!Y3="12 Monate",ROUNDDOWN(L13+249*Programmdaten!U33,2),"Zonk!"))))))))))))))))</f>
        <v>0</v>
      </c>
      <c r="Q4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Monate",ROUNDDOWN(L13+250*Programmdaten!U33,2),IF(Programmdaten!Y3="12 Monate",ROUNDDOWN(L13+250*Programmdaten!U33,2),"Zonk!"))))))))))))))))</f>
        <v>0</v>
      </c>
      <c r="R4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Monate",ROUNDDOWN(L13+251*Programmdaten!U33,2),IF(Programmdaten!Y3="12 Monate",ROUNDDOWN(L13+251*Programmdaten!U33,2),"Zonk!"))))))))))))))))</f>
        <v>0</v>
      </c>
      <c r="S48" s="44">
        <f t="shared" ca="1" si="0"/>
        <v>0</v>
      </c>
      <c r="V48" s="68">
        <f>IF(Programmdaten!U35+35&gt;52,-52+Programmdaten!U35+35,Programmdaten!U35+35)</f>
        <v>16</v>
      </c>
      <c r="W48" s="66">
        <f ca="1">IFERROR(ROUNDUP(SUMIF(K13:K64,IF(V48-Programmdaten!U9&lt;0,V48-Programmdaten!U9+52,V48-Programmdaten!U9),S13:S64),1),"")</f>
        <v>0</v>
      </c>
      <c r="X48" s="67">
        <f>IFERROR(ROUNDDOWN(SUMIF('Gewichts-Tabelle'!K16:K67,V48,'Gewichts-Tabelle'!S16:S67),1),"")</f>
        <v>0</v>
      </c>
    </row>
    <row r="49" spans="11:24" x14ac:dyDescent="0.25">
      <c r="K49" s="47">
        <v>36</v>
      </c>
      <c r="L4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Monate",ROUNDDOWN(L13+252*Programmdaten!U33,2),IF(Programmdaten!Y3="12 Monate",ROUNDDOWN(L13+252*Programmdaten!U33,2),"Zonk!"))))))))))))))))</f>
        <v>0</v>
      </c>
      <c r="M4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Monate",ROUNDDOWN(L13+253*Programmdaten!U33,2),IF(Programmdaten!Y3="12 Monate",ROUNDDOWN(L13+253*Programmdaten!U33,2),"Zonk!"))))))))))))))))</f>
        <v>0</v>
      </c>
      <c r="N4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Monate",ROUNDDOWN(L13+254*Programmdaten!U33,2),IF(Programmdaten!Y3="12 Monate",ROUNDDOWN(L13+254*Programmdaten!U33,2),"Zonk!"))))))))))))))))</f>
        <v>0</v>
      </c>
      <c r="O4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Monate",ROUNDDOWN(L13+255*Programmdaten!U33,2),IF(Programmdaten!Y3="12 Monate",ROUNDDOWN(L13+255*Programmdaten!U33,2),"Zonk!"))))))))))))))))</f>
        <v>0</v>
      </c>
      <c r="P4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Monate",ROUNDDOWN(L13+256*Programmdaten!U33,2),IF(Programmdaten!Y3="12 Monate",ROUNDDOWN(L13+256*Programmdaten!U33,2),"Zonk!"))))))))))))))))</f>
        <v>0</v>
      </c>
      <c r="Q4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Monate",ROUNDDOWN(L13+257*Programmdaten!U33,2),IF(Programmdaten!Y3="12 Monate",ROUNDDOWN(L13+257*Programmdaten!U33,2),"Zonk!"))))))))))))))))</f>
        <v>0</v>
      </c>
      <c r="R4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Monate",ROUNDDOWN(L13+258*Programmdaten!U33,2),IF(Programmdaten!Y3="12 Monate",ROUNDDOWN(L13+258*Programmdaten!U33,2),"Zonk!"))))))))))))))))</f>
        <v>0</v>
      </c>
      <c r="S49" s="44">
        <f t="shared" ca="1" si="0"/>
        <v>0</v>
      </c>
      <c r="V49" s="68">
        <f>IF(Programmdaten!U35+36&gt;52,-52+Programmdaten!U35+36,Programmdaten!U35+36)</f>
        <v>17</v>
      </c>
      <c r="W49" s="66">
        <f ca="1">IFERROR(ROUNDUP(SUMIF(K13:K64,IF(V49-Programmdaten!U9&lt;0,V49-Programmdaten!U9+52,V49-Programmdaten!U9),S13:S64),1),"")</f>
        <v>0</v>
      </c>
      <c r="X49" s="67">
        <f>IFERROR(ROUNDDOWN(SUMIF('Gewichts-Tabelle'!K16:K67,V49,'Gewichts-Tabelle'!S16:S67),1),"")</f>
        <v>0</v>
      </c>
    </row>
    <row r="50" spans="11:24" x14ac:dyDescent="0.25">
      <c r="K50" s="47">
        <v>37</v>
      </c>
      <c r="L5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Monate",ROUNDDOWN(L13+259*Programmdaten!U33,2),IF(Programmdaten!Y3="12 Monate",ROUNDDOWN(L13+259*Programmdaten!U33,2),"Zonk!"))))))))))))))))</f>
        <v>0</v>
      </c>
      <c r="M5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Monate",ROUNDDOWN(L13+260*Programmdaten!U33,2),IF(Programmdaten!Y3="12 Monate",ROUNDDOWN(L13+260*Programmdaten!U33,2),"Zonk!"))))))))))))))))</f>
        <v>0</v>
      </c>
      <c r="N5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Monate",ROUNDDOWN(L13+261*Programmdaten!U33,2),IF(Programmdaten!Y3="12 Monate",ROUNDDOWN(L13+261*Programmdaten!U33,2),"Zonk!"))))))))))))))))</f>
        <v>0</v>
      </c>
      <c r="O5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Monate",ROUNDDOWN(L13+262*Programmdaten!U33,2),IF(Programmdaten!Y3="12 Monate",ROUNDDOWN(L13+262*Programmdaten!U33,2),"Zonk!"))))))))))))))))</f>
        <v>0</v>
      </c>
      <c r="P5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Monate",ROUNDDOWN(L13+263*Programmdaten!U33,2),IF(Programmdaten!Y3="12 Monate",ROUNDDOWN(L13+263*Programmdaten!U33,2),"Zonk!"))))))))))))))))</f>
        <v>0</v>
      </c>
      <c r="Q5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Monate",ROUNDDOWN(L13+264*Programmdaten!U33,2),IF(Programmdaten!Y3="12 Monate",ROUNDDOWN(L13+264*Programmdaten!U33,2),"Zonk!"))))))))))))))))</f>
        <v>0</v>
      </c>
      <c r="R5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Monate",ROUNDDOWN(L13+265*Programmdaten!U33,2),IF(Programmdaten!Y3="12 Monate",ROUNDDOWN(L13+265*Programmdaten!U33,2),"Zonk!"))))))))))))))))</f>
        <v>0</v>
      </c>
      <c r="S50" s="44">
        <f t="shared" ca="1" si="0"/>
        <v>0</v>
      </c>
      <c r="V50" s="68">
        <f>IF(Programmdaten!U35+37&gt;52,-52+Programmdaten!U35+37,Programmdaten!U35+37)</f>
        <v>18</v>
      </c>
      <c r="W50" s="66">
        <f ca="1">IFERROR(ROUNDUP(SUMIF(K13:K64,IF(V50-Programmdaten!U9&lt;0,V50-Programmdaten!U9+52,V50-Programmdaten!U9),S13:S64),1),"")</f>
        <v>0</v>
      </c>
      <c r="X50" s="67">
        <f>IFERROR(ROUNDDOWN(SUMIF('Gewichts-Tabelle'!K16:K67,V50,'Gewichts-Tabelle'!S16:S67),1),"")</f>
        <v>0</v>
      </c>
    </row>
    <row r="51" spans="11:24" x14ac:dyDescent="0.25">
      <c r="K51" s="47">
        <v>38</v>
      </c>
      <c r="L5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Monate",ROUNDDOWN(L13+266*Programmdaten!U33,2),IF(Programmdaten!Y3="12 Monate",ROUNDDOWN(L13+266*Programmdaten!U33,2),"Zonk!"))))))))))))))))</f>
        <v>0</v>
      </c>
      <c r="M5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Monate",ROUNDDOWN(L13+267*Programmdaten!U33,2),IF(Programmdaten!Y3="12 Monate",ROUNDDOWN(L13+267*Programmdaten!U33,2),"Zonk!"))))))))))))))))</f>
        <v>0</v>
      </c>
      <c r="N5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Monate",ROUNDDOWN(L13+268*Programmdaten!U33,2),IF(Programmdaten!Y3="12 Monate",ROUNDDOWN(L13+268*Programmdaten!U33,2),"Zonk!"))))))))))))))))</f>
        <v>0</v>
      </c>
      <c r="O5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Monate",ROUNDDOWN(L13+269*Programmdaten!U33,2),IF(Programmdaten!Y3="12 Monate",ROUNDDOWN(L13+269*Programmdaten!U33,2),"Zonk!"))))))))))))))))</f>
        <v>0</v>
      </c>
      <c r="P5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Monate",ROUNDDOWN(L13+270*Programmdaten!U33,2),IF(Programmdaten!Y3="12 Monate",ROUNDDOWN(L13+270*Programmdaten!U33,2),"Zonk!"))))))))))))))))</f>
        <v>0</v>
      </c>
      <c r="Q5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Monate",ROUNDDOWN(L13+271*Programmdaten!U33,2),"Zonk!"))))))))))))))))</f>
        <v>0</v>
      </c>
      <c r="R5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Monate",ROUNDDOWN(L13+272*Programmdaten!U33,2),"Zonk!"))))))))))))))))</f>
        <v>0</v>
      </c>
      <c r="S51" s="44">
        <f t="shared" ca="1" si="0"/>
        <v>0</v>
      </c>
      <c r="V51" s="68">
        <f>IF(Programmdaten!U35+38&gt;52,-52+Programmdaten!U35+38,Programmdaten!U35+38)</f>
        <v>19</v>
      </c>
      <c r="W51" s="66">
        <f ca="1">IFERROR(ROUNDUP(SUMIF(K13:K64,IF(V51-Programmdaten!U9&lt;0,V51-Programmdaten!U9+52,V51-Programmdaten!U9),S13:S64),1),"")</f>
        <v>0</v>
      </c>
      <c r="X51" s="67">
        <f>IFERROR(ROUNDDOWN(SUMIF('Gewichts-Tabelle'!K16:K67,V51,'Gewichts-Tabelle'!S16:S67),1),"")</f>
        <v>0</v>
      </c>
    </row>
    <row r="52" spans="11:24" x14ac:dyDescent="0.25">
      <c r="K52" s="47">
        <v>39</v>
      </c>
      <c r="L5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Monate",ROUNDDOWN(L13+273*Programmdaten!U33,2),"Zonk!"))))))))))))))))</f>
        <v>0</v>
      </c>
      <c r="M5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Monate",ROUNDDOWN(L13+274*Programmdaten!U33,2),"Zonk!"))))))))))))))))</f>
        <v>0</v>
      </c>
      <c r="N5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Monate",ROUNDDOWN(L13+275*Programmdaten!U33,2),"Zonk!"))))))))))))))))</f>
        <v>0</v>
      </c>
      <c r="O5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Monate",ROUNDDOWN(L13+276*Programmdaten!U33,2),"Zonk!"))))))))))))))))</f>
        <v>0</v>
      </c>
      <c r="P5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Monate",ROUNDDOWN(L13+277*Programmdaten!U33,2),"Zonk!"))))))))))))))))</f>
        <v>0</v>
      </c>
      <c r="Q5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Monate",ROUNDDOWN(L13+278*Programmdaten!U33,2),"Zonk!"))))))))))))))))</f>
        <v>0</v>
      </c>
      <c r="R5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Monate",ROUNDDOWN(L13+279*Programmdaten!U33,2),"Zonk!"))))))))))))))))</f>
        <v>0</v>
      </c>
      <c r="S52" s="44">
        <f t="shared" ca="1" si="0"/>
        <v>0</v>
      </c>
      <c r="V52" s="68">
        <f>IF(Programmdaten!U35+39&gt;52,-52+Programmdaten!U35+39,Programmdaten!U35+39)</f>
        <v>20</v>
      </c>
      <c r="W52" s="66">
        <f ca="1">IFERROR(ROUNDUP(SUMIF(K13:K64,IF(V52-Programmdaten!U9&lt;0,V52-Programmdaten!U9+52,V52-Programmdaten!U9),S13:S64),1),"")</f>
        <v>0</v>
      </c>
      <c r="X52" s="67">
        <f>IFERROR(ROUNDDOWN(SUMIF('Gewichts-Tabelle'!K16:K67,V52,'Gewichts-Tabelle'!S16:S67),1),"")</f>
        <v>0</v>
      </c>
    </row>
    <row r="53" spans="11:24" x14ac:dyDescent="0.25">
      <c r="K53" s="47">
        <v>40</v>
      </c>
      <c r="L5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Monate",ROUNDDOWN(L13+280*Programmdaten!U33,2),"Zonk!"))))))))))))))))</f>
        <v>0</v>
      </c>
      <c r="M5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Monate",ROUNDDOWN(L13+281*Programmdaten!U33,2),"Zonk!"))))))))))))))))</f>
        <v>0</v>
      </c>
      <c r="N5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Monate",ROUNDDOWN(L13+282*Programmdaten!U33,2),"Zonk!"))))))))))))))))</f>
        <v>0</v>
      </c>
      <c r="O5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Monate",ROUNDDOWN(L13+283*Programmdaten!U33,2),"Zonk!"))))))))))))))))</f>
        <v>0</v>
      </c>
      <c r="P5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Monate",ROUNDDOWN(L13+284*Programmdaten!U33,2),"Zonk!"))))))))))))))))</f>
        <v>0</v>
      </c>
      <c r="Q5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Monate",ROUNDDOWN(L13+285*Programmdaten!U33,2),"Zonk!"))))))))))))))))</f>
        <v>0</v>
      </c>
      <c r="R5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Monate",ROUNDDOWN(L13+286*Programmdaten!U33,2),"Zonk!"))))))))))))))))</f>
        <v>0</v>
      </c>
      <c r="S53" s="44">
        <f t="shared" ca="1" si="0"/>
        <v>0</v>
      </c>
      <c r="V53" s="68">
        <f>IF(Programmdaten!U35+40&gt;52,-52+Programmdaten!U35+40,Programmdaten!U35+40)</f>
        <v>21</v>
      </c>
      <c r="W53" s="66">
        <f ca="1">IFERROR(ROUNDUP(SUMIF(K13:K64,IF(V53-Programmdaten!U9&lt;0,V53-Programmdaten!U9+52,V53-Programmdaten!U9),S13:S64),1),"")</f>
        <v>0</v>
      </c>
      <c r="X53" s="67">
        <f>IFERROR(ROUNDDOWN(SUMIF('Gewichts-Tabelle'!K16:K67,V53,'Gewichts-Tabelle'!S16:S67),1),"")</f>
        <v>0</v>
      </c>
    </row>
    <row r="54" spans="11:24" x14ac:dyDescent="0.25">
      <c r="K54" s="47">
        <v>41</v>
      </c>
      <c r="L5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Monate",ROUNDDOWN(L13+287*Programmdaten!U33,2),"Zonk!"))))))))))))))))</f>
        <v>0</v>
      </c>
      <c r="M5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Monate",ROUNDDOWN(L13+288*Programmdaten!U33,2),"Zonk!"))))))))))))))))</f>
        <v>0</v>
      </c>
      <c r="N5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Monate",ROUNDDOWN(L13+289*Programmdaten!U33,2),"Zonk!"))))))))))))))))</f>
        <v>0</v>
      </c>
      <c r="O5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Monate",ROUNDDOWN(L13+290*Programmdaten!U33,2),"Zonk!"))))))))))))))))</f>
        <v>0</v>
      </c>
      <c r="P5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Monate",ROUNDDOWN(L13+291*Programmdaten!U33,2),"Zonk!"))))))))))))))))</f>
        <v>0</v>
      </c>
      <c r="Q5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Monate",ROUNDDOWN(L13+292*Programmdaten!U33,2),"Zonk!"))))))))))))))))</f>
        <v>0</v>
      </c>
      <c r="R5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Monate",ROUNDDOWN(L13+293*Programmdaten!U33,2),"Zonk!"))))))))))))))))</f>
        <v>0</v>
      </c>
      <c r="S54" s="44">
        <f t="shared" ca="1" si="0"/>
        <v>0</v>
      </c>
      <c r="V54" s="68">
        <f>IF(Programmdaten!U35+41&gt;52,-52+Programmdaten!U35+41,Programmdaten!U35+41)</f>
        <v>22</v>
      </c>
      <c r="W54" s="66">
        <f ca="1">IFERROR(ROUNDUP(SUMIF(K13:K64,IF(V54-Programmdaten!U9&lt;0,V54-Programmdaten!U9+52,V54-Programmdaten!U9),S13:S64),1),"")</f>
        <v>0</v>
      </c>
      <c r="X54" s="67">
        <f>IFERROR(ROUNDDOWN(SUMIF('Gewichts-Tabelle'!K16:K67,V54,'Gewichts-Tabelle'!S16:S67),1),"")</f>
        <v>0</v>
      </c>
    </row>
    <row r="55" spans="11:24" x14ac:dyDescent="0.25">
      <c r="K55" s="47">
        <v>42</v>
      </c>
      <c r="L5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Monate",ROUNDDOWN(L13+294*Programmdaten!U33,2),"Zonk!"))))))))))))))))</f>
        <v>0</v>
      </c>
      <c r="M5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Monate",ROUNDDOWN(L13+295*Programmdaten!U33,2),"Zonk!"))))))))))))))))</f>
        <v>0</v>
      </c>
      <c r="N5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Monate",ROUNDDOWN(L13+296*Programmdaten!U33,2),"Zonk!"))))))))))))))))</f>
        <v>0</v>
      </c>
      <c r="O5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Monate",ROUNDDOWN(L13+297*Programmdaten!U33,2),"Zonk!"))))))))))))))))</f>
        <v>0</v>
      </c>
      <c r="P5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Monate",ROUNDDOWN(L13+298*Programmdaten!U33,2),"Zonk!"))))))))))))))))</f>
        <v>0</v>
      </c>
      <c r="Q5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Monate",ROUNDDOWN(L13+299*Programmdaten!U33,2),"Zonk!"))))))))))))))))</f>
        <v>0</v>
      </c>
      <c r="R55"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Monate",ROUNDDOWN(L13+300*Programmdaten!U33,2),"Zonk!"))))))))))))))))</f>
        <v>0</v>
      </c>
      <c r="S55" s="44">
        <f t="shared" ca="1" si="0"/>
        <v>0</v>
      </c>
      <c r="V55" s="68">
        <f>IF(Programmdaten!U35+42&gt;52,-52+Programmdaten!U35+42,Programmdaten!U35+42)</f>
        <v>23</v>
      </c>
      <c r="W55" s="66">
        <f ca="1">IFERROR(ROUNDUP(SUMIF(K13:K64,IF(V55-Programmdaten!U9&lt;0,V55-Programmdaten!U9+52,V55-Programmdaten!U9),S13:S64),1),"")</f>
        <v>0</v>
      </c>
      <c r="X55" s="67">
        <f>IFERROR(ROUNDDOWN(SUMIF('Gewichts-Tabelle'!K16:K67,V55,'Gewichts-Tabelle'!S16:S67),1),"")</f>
        <v>0</v>
      </c>
    </row>
    <row r="56" spans="11:24" x14ac:dyDescent="0.25">
      <c r="K56" s="47">
        <v>43</v>
      </c>
      <c r="L5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Monate",ROUNDDOWN(L13+301*Programmdaten!U33,2),"Zonk!"))))))))))))))))</f>
        <v>0</v>
      </c>
      <c r="M5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Monate",ROUNDDOWN(L13+302*Programmdaten!U33,2),"Zonk!"))))))))))))))))</f>
        <v>0</v>
      </c>
      <c r="N5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Monate",ROUNDDOWN(L13+303*Programmdaten!U33,2),"Zonk!"))))))))))))))))</f>
        <v>0</v>
      </c>
      <c r="O5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Monate",ROUNDDOWN(L13+304*Programmdaten!U33,2),"Zonk!"))))))))))))))))</f>
        <v>0</v>
      </c>
      <c r="P5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Monate",ROUNDDOWN(L13+305*Programmdaten!U33,2),"Zonk!"))))))))))))))))</f>
        <v>0</v>
      </c>
      <c r="Q5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Monate",ROUNDDOWN(L13+306*Programmdaten!U33,2),"Zonk!"))))))))))))))))</f>
        <v>0</v>
      </c>
      <c r="R56"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Monate",ROUNDDOWN(L13+307*Programmdaten!U33,2),"Zonk!"))))))))))))))))</f>
        <v>0</v>
      </c>
      <c r="S56" s="44">
        <f t="shared" ca="1" si="0"/>
        <v>0</v>
      </c>
      <c r="V56" s="68">
        <f>IF(Programmdaten!U35+43&gt;52,-52+Programmdaten!U35+43,Programmdaten!U35+43)</f>
        <v>24</v>
      </c>
      <c r="W56" s="66">
        <f ca="1">IFERROR(ROUNDUP(SUMIF(K13:K64,IF(V56-Programmdaten!U9&lt;0,V56-Programmdaten!U9+52,V56-Programmdaten!U9),S13:S64),1),"")</f>
        <v>0</v>
      </c>
      <c r="X56" s="67">
        <f>IFERROR(ROUNDDOWN(SUMIF('Gewichts-Tabelle'!K16:K67,V56,'Gewichts-Tabelle'!S16:S67),1),"")</f>
        <v>0</v>
      </c>
    </row>
    <row r="57" spans="11:24" x14ac:dyDescent="0.25">
      <c r="K57" s="47">
        <v>44</v>
      </c>
      <c r="L5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Monate",ROUNDDOWN(L13+308*Programmdaten!U33,2),"Zonk!"))))))))))))))))</f>
        <v>0</v>
      </c>
      <c r="M5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Monate",ROUNDDOWN(L13+309*Programmdaten!U33,2),"Zonk!"))))))))))))))))</f>
        <v>0</v>
      </c>
      <c r="N5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Monate",ROUNDDOWN(L13+310*Programmdaten!U33,2),"Zonk!"))))))))))))))))</f>
        <v>0</v>
      </c>
      <c r="O5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Monate",ROUNDDOWN(L13+311*Programmdaten!U33,2),"Zonk!"))))))))))))))))</f>
        <v>0</v>
      </c>
      <c r="P5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Monate",ROUNDDOWN(L13+312*Programmdaten!U33,2),"Zonk!"))))))))))))))))</f>
        <v>0</v>
      </c>
      <c r="Q5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Monate",ROUNDDOWN(L13+313*Programmdaten!U33,2),"Zonk!"))))))))))))))))</f>
        <v>0</v>
      </c>
      <c r="R57"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Monate",ROUNDDOWN(L13+314*Programmdaten!U33,2),"Zonk!"))))))))))))))))</f>
        <v>0</v>
      </c>
      <c r="S57" s="44">
        <f t="shared" ca="1" si="0"/>
        <v>0</v>
      </c>
      <c r="V57" s="68">
        <f>IF(Programmdaten!U35+44&gt;52,-52+Programmdaten!U35+44,Programmdaten!U35+44)</f>
        <v>25</v>
      </c>
      <c r="W57" s="66">
        <f ca="1">IFERROR(ROUNDUP(SUMIF(K13:K64,IF(V57-Programmdaten!U9&lt;0,V57-Programmdaten!U9+52,V57-Programmdaten!U9),S13:S64),1),"")</f>
        <v>0</v>
      </c>
      <c r="X57" s="67">
        <f>IFERROR(ROUNDDOWN(SUMIF('Gewichts-Tabelle'!K16:K67,V57,'Gewichts-Tabelle'!S16:S67),1),"")</f>
        <v>0</v>
      </c>
    </row>
    <row r="58" spans="11:24" x14ac:dyDescent="0.25">
      <c r="K58" s="47">
        <v>45</v>
      </c>
      <c r="L5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Monate",ROUNDDOWN(L13+315*Programmdaten!U33,2),"Zonk!"))))))))))))))))</f>
        <v>0</v>
      </c>
      <c r="M5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Monate",ROUNDDOWN(L13+316*Programmdaten!U33,2),"Zonk!"))))))))))))))))</f>
        <v>0</v>
      </c>
      <c r="N5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Monate",ROUNDDOWN(L13+317*Programmdaten!U33,2),"Zonk!"))))))))))))))))</f>
        <v>0</v>
      </c>
      <c r="O5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Monate",ROUNDDOWN(L13+318*Programmdaten!U33,2),"Zonk!"))))))))))))))))</f>
        <v>0</v>
      </c>
      <c r="P5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Monate",ROUNDDOWN(L13+319*Programmdaten!U33,2),"Zonk!"))))))))))))))))</f>
        <v>0</v>
      </c>
      <c r="Q5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Monate",ROUNDDOWN(L13+320*Programmdaten!U33,2),"Zonk!"))))))))))))))))</f>
        <v>0</v>
      </c>
      <c r="R58"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Monate",ROUNDDOWN(L13+321*Programmdaten!U33,2),"Zonk!"))))))))))))))))</f>
        <v>0</v>
      </c>
      <c r="S58" s="44">
        <f t="shared" ca="1" si="0"/>
        <v>0</v>
      </c>
      <c r="V58" s="68">
        <f>IF(Programmdaten!U35+45&gt;52,-52+Programmdaten!U35+45,Programmdaten!U35+45)</f>
        <v>26</v>
      </c>
      <c r="W58" s="66">
        <f ca="1">IFERROR(ROUNDUP(SUMIF(K13:K64,IF(V58-Programmdaten!U9&lt;0,V58-Programmdaten!U9+52,V58-Programmdaten!U9),S13:S64),1),"")</f>
        <v>0</v>
      </c>
      <c r="X58" s="67">
        <f>IFERROR(ROUNDDOWN(SUMIF('Gewichts-Tabelle'!K16:K67,V58,'Gewichts-Tabelle'!S16:S67),1),"")</f>
        <v>0</v>
      </c>
    </row>
    <row r="59" spans="11:24" x14ac:dyDescent="0.25">
      <c r="K59" s="47">
        <v>46</v>
      </c>
      <c r="L5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Monate",ROUNDDOWN(L13+322*Programmdaten!U33,2),"Zonk!"))))))))))))))))</f>
        <v>0</v>
      </c>
      <c r="M5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Monate",ROUNDDOWN(L13+323*Programmdaten!U33,2),"Zonk!"))))))))))))))))</f>
        <v>0</v>
      </c>
      <c r="N5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Monate",ROUNDDOWN(L13+324*Programmdaten!U33,2),"Zonk!"))))))))))))))))</f>
        <v>0</v>
      </c>
      <c r="O5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Monate",ROUNDDOWN(L13+325*Programmdaten!U33,2),"Zonk!"))))))))))))))))</f>
        <v>0</v>
      </c>
      <c r="P5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Monate",ROUNDDOWN(L13+326*Programmdaten!U33,2),"Zonk!"))))))))))))))))</f>
        <v>0</v>
      </c>
      <c r="Q5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Monate",ROUNDDOWN(L13+327*Programmdaten!U33,2),"Zonk!"))))))))))))))))</f>
        <v>0</v>
      </c>
      <c r="R59"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Monate",ROUNDDOWN(L13+328*Programmdaten!U33,2),"Zonk!"))))))))))))))))</f>
        <v>0</v>
      </c>
      <c r="S59" s="44">
        <f t="shared" ca="1" si="0"/>
        <v>0</v>
      </c>
      <c r="V59" s="68">
        <f>IF(Programmdaten!U35+46&gt;52,-52+Programmdaten!U35+46,Programmdaten!U35+46)</f>
        <v>27</v>
      </c>
      <c r="W59" s="66">
        <f ca="1">IFERROR(ROUNDUP(SUMIF(K13:K64,IF(V59-Programmdaten!U9&lt;0,V59-Programmdaten!U9+52,V59-Programmdaten!U9),S13:S64),1),"")</f>
        <v>0</v>
      </c>
      <c r="X59" s="67">
        <f>IFERROR(ROUNDDOWN(SUMIF('Gewichts-Tabelle'!K16:K67,V59,'Gewichts-Tabelle'!S16:S67),1),"")</f>
        <v>0</v>
      </c>
    </row>
    <row r="60" spans="11:24" x14ac:dyDescent="0.25">
      <c r="K60" s="47">
        <v>47</v>
      </c>
      <c r="L6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Monate",ROUNDDOWN(L13+329*Programmdaten!U33,2),"Zonk!"))))))))))))))))</f>
        <v>0</v>
      </c>
      <c r="M6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Monate",ROUNDDOWN(L13+330*Programmdaten!U33,2),"Zonk!"))))))))))))))))</f>
        <v>0</v>
      </c>
      <c r="N6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Monate",ROUNDDOWN(L13+331*Programmdaten!U33,2),"Zonk!"))))))))))))))))</f>
        <v>0</v>
      </c>
      <c r="O6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Monate",ROUNDDOWN(L13+332*Programmdaten!U33,2),"Zonk!"))))))))))))))))</f>
        <v>0</v>
      </c>
      <c r="P6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Monate",ROUNDDOWN(L13+333*Programmdaten!U33,2),"Zonk!"))))))))))))))))</f>
        <v>0</v>
      </c>
      <c r="Q6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Monate",ROUNDDOWN(L13+334*Programmdaten!U33,2),"Zonk!"))))))))))))))))</f>
        <v>0</v>
      </c>
      <c r="R60"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Monate",ROUNDDOWN(L13+335*Programmdaten!U33,2),"Zonk!"))))))))))))))))</f>
        <v>0</v>
      </c>
      <c r="S60" s="44">
        <f t="shared" ca="1" si="0"/>
        <v>0</v>
      </c>
      <c r="V60" s="68">
        <f>IF(Programmdaten!U35+47&gt;52,-52+Programmdaten!U35+47,Programmdaten!U35+47)</f>
        <v>28</v>
      </c>
      <c r="W60" s="66">
        <f ca="1">IFERROR(ROUNDUP(SUMIF(K13:K64,IF(V60-Programmdaten!U9&lt;0,V60-Programmdaten!U9+52,V60-Programmdaten!U9),S13:S64),1),"")</f>
        <v>0</v>
      </c>
      <c r="X60" s="67">
        <f>IFERROR(ROUNDDOWN(SUMIF('Gewichts-Tabelle'!K16:K67,V60,'Gewichts-Tabelle'!S16:S67),1),"")</f>
        <v>0</v>
      </c>
    </row>
    <row r="61" spans="11:24" x14ac:dyDescent="0.25">
      <c r="K61" s="47">
        <v>48</v>
      </c>
      <c r="L6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Monate",ROUNDDOWN(L13+336*Programmdaten!U33,2),"Zonk!"))))))))))))))))</f>
        <v>0</v>
      </c>
      <c r="M6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Monate",ROUNDDOWN(L13+337*Programmdaten!U33,2),"Zonk!"))))))))))))))))</f>
        <v>0</v>
      </c>
      <c r="N6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Monate",ROUNDDOWN(L13+338*Programmdaten!U33,2),"Zonk!"))))))))))))))))</f>
        <v>0</v>
      </c>
      <c r="O6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Monate",ROUNDDOWN(L13+339*Programmdaten!U33,2),"Zonk!"))))))))))))))))</f>
        <v>0</v>
      </c>
      <c r="P6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Monate",ROUNDDOWN(L13+340*Programmdaten!U33,2),"Zonk!"))))))))))))))))</f>
        <v>0</v>
      </c>
      <c r="Q6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Monate",ROUNDDOWN(L13+341*Programmdaten!U33,2),"Zonk!"))))))))))))))))</f>
        <v>0</v>
      </c>
      <c r="R61"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Monate",ROUNDDOWN(L13+342*Programmdaten!U33,2),"Zonk!"))))))))))))))))</f>
        <v>0</v>
      </c>
      <c r="S61" s="44">
        <f t="shared" ca="1" si="0"/>
        <v>0</v>
      </c>
      <c r="V61" s="68">
        <f>IF(Programmdaten!U35+48&gt;52,-52+Programmdaten!U35+48,Programmdaten!U35+48)</f>
        <v>29</v>
      </c>
      <c r="W61" s="66">
        <f ca="1">IFERROR(ROUNDUP(SUMIF(K13:K64,IF(V61-Programmdaten!U9&lt;0,V61-Programmdaten!U9+52,V61-Programmdaten!U9),S13:S64),1),"")</f>
        <v>0</v>
      </c>
      <c r="X61" s="67">
        <f>IFERROR(ROUNDDOWN(SUMIF('Gewichts-Tabelle'!K16:K67,V61,'Gewichts-Tabelle'!S16:S67),1),"")</f>
        <v>0</v>
      </c>
    </row>
    <row r="62" spans="11:24" x14ac:dyDescent="0.25">
      <c r="K62" s="47">
        <v>49</v>
      </c>
      <c r="L6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Monate",ROUNDDOWN(L13+343*Programmdaten!U33,2),"Zonk!"))))))))))))))))</f>
        <v>0</v>
      </c>
      <c r="M6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Monate",ROUNDDOWN(L13+344*Programmdaten!U33,2),"Zonk!"))))))))))))))))</f>
        <v>0</v>
      </c>
      <c r="N6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Monate",ROUNDDOWN(L13+345*Programmdaten!U33,2),"Zonk!"))))))))))))))))</f>
        <v>0</v>
      </c>
      <c r="O6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Monate",ROUNDDOWN(L13+346*Programmdaten!U33,2),"Zonk!"))))))))))))))))</f>
        <v>0</v>
      </c>
      <c r="P6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Monate",ROUNDDOWN(L13+347*Programmdaten!U33,2),"Zonk!"))))))))))))))))</f>
        <v>0</v>
      </c>
      <c r="Q6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Monate",ROUNDDOWN(L13+348*Programmdaten!U33,2),"Zonk!"))))))))))))))))</f>
        <v>0</v>
      </c>
      <c r="R62"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Monate",ROUNDDOWN(L13+349*Programmdaten!U33,2),"Zonk!"))))))))))))))))</f>
        <v>0</v>
      </c>
      <c r="S62" s="44">
        <f t="shared" ca="1" si="0"/>
        <v>0</v>
      </c>
      <c r="V62" s="68">
        <f>IF(Programmdaten!U35+40&gt;49,-52+Programmdaten!U35+49,Programmdaten!U35+49)</f>
        <v>30</v>
      </c>
      <c r="W62" s="66">
        <f ca="1">IFERROR(ROUNDUP(SUMIF(K13:K64,IF(V62-Programmdaten!U9&lt;0,V62-Programmdaten!U9+52,V62-Programmdaten!U9),S13:S64),1),"")</f>
        <v>0</v>
      </c>
      <c r="X62" s="67">
        <f>IFERROR(ROUNDDOWN(SUMIF('Gewichts-Tabelle'!K16:K67,V62,'Gewichts-Tabelle'!S16:S67),1),"")</f>
        <v>0</v>
      </c>
    </row>
    <row r="63" spans="11:24" x14ac:dyDescent="0.25">
      <c r="K63" s="47">
        <v>50</v>
      </c>
      <c r="L6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Monate",ROUNDDOWN(L13+350*Programmdaten!U33,2),"Zonk!"))))))))))))))))</f>
        <v>0</v>
      </c>
      <c r="M6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Monate",ROUNDDOWN(L13+351*Programmdaten!U33,2),"Zonk!"))))))))))))))))</f>
        <v>0</v>
      </c>
      <c r="N6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Monate",ROUNDDOWN(L13+352*Programmdaten!U33,2),"Zonk!"))))))))))))))))</f>
        <v>0</v>
      </c>
      <c r="O6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Monate",ROUNDDOWN(L13+353*Programmdaten!U33,2),"Zonk!"))))))))))))))))</f>
        <v>0</v>
      </c>
      <c r="P6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Monate",ROUNDDOWN(L13+354*Programmdaten!U33,2),"Zonk!"))))))))))))))))</f>
        <v>0</v>
      </c>
      <c r="Q6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Monate",ROUNDDOWN(L13+355*Programmdaten!U33,2),"Zonk!"))))))))))))))))</f>
        <v>0</v>
      </c>
      <c r="R63"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Monate",ROUNDDOWN(L13+356*Programmdaten!U33,2),"Zonk!"))))))))))))))))</f>
        <v>0</v>
      </c>
      <c r="S63" s="44">
        <f t="shared" ca="1" si="0"/>
        <v>0</v>
      </c>
      <c r="V63" s="68">
        <f>IF(Programmdaten!U35+450&gt;52,-52+Programmdaten!U35+50,Programmdaten!U35+50)</f>
        <v>31</v>
      </c>
      <c r="W63" s="66">
        <f ca="1">IFERROR(ROUNDUP(SUMIF(K13:K64,IF(V63-Programmdaten!U9&lt;0,V63-Programmdaten!U9+52,V63-Programmdaten!U9),S13:S64),1),"")</f>
        <v>0</v>
      </c>
      <c r="X63" s="67">
        <f>IFERROR(ROUNDDOWN(SUMIF('Gewichts-Tabelle'!K16:K67,V63,'Gewichts-Tabelle'!S16:S67),1),"")</f>
        <v>0</v>
      </c>
    </row>
    <row r="64" spans="11:24" x14ac:dyDescent="0.25">
      <c r="K64" s="47">
        <v>51</v>
      </c>
      <c r="L6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Monate",ROUNDDOWN(L13+357*Programmdaten!U33,2),"Zonk!"))))))))))))))))</f>
        <v>0</v>
      </c>
      <c r="M6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Monate",ROUNDDOWN(L13+358*Programmdaten!U33,2),"Zonk!"))))))))))))))))</f>
        <v>0</v>
      </c>
      <c r="N6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Monate",ROUNDDOWN(L13+359*Programmdaten!U33,2),"Zonk!"))))))))))))))))</f>
        <v>0</v>
      </c>
      <c r="O6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Monate",ROUNDDOWN(L13+360*Programmdaten!U33,2),"Zonk!"))))))))))))))))</f>
        <v>0</v>
      </c>
      <c r="P6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Monate",ROUNDDOWN(L13+361*Programmdaten!U33,2),"Zonk!"))))))))))))))))</f>
        <v>0</v>
      </c>
      <c r="Q6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Monate",P64,"Zonk!"))))))))))))))))</f>
        <v>0</v>
      </c>
      <c r="R64" s="45">
        <f ca="1">IF(Programmdaten!Y3="1 Tag",M13,IF(Programmdaten!Y3="2 Tage",N13,IF(Programmdaten!Y3="3 Tage",O13,IF(Programmdaten!Y3="4 Tage",P13,IF(Programmdaten!Y3="1 Woche",R13,IF(Programmdaten!Y3="2 Wochen",R14,IF(Programmdaten!Y3="3 Wochen",R15,IF(Programmdaten!Y3="4 Wochen",R16,IF(Programmdaten!Y3="1 Monat",N17,IF(Programmdaten!Y3="2 Monate",P21,IF(Programmdaten!Y3="3 Monate",L26,IF(Programmdaten!Y3="4 Monate",M30,IF(Programmdaten!Y3="6 Monate",Q38,IF(Programmdaten!Y3="8 Monate",N47,IF(Programmdaten!Y3="9 Monate",P51,IF(Programmdaten!Y3="12 Monate",Q64,"Zonk!"))))))))))))))))</f>
        <v>0</v>
      </c>
      <c r="S64" s="44">
        <f t="shared" ca="1" si="0"/>
        <v>0</v>
      </c>
      <c r="V64" s="68">
        <f>IF(Programmdaten!U35+51&gt;52,-52+Programmdaten!U35+51,Programmdaten!U35+51)</f>
        <v>32</v>
      </c>
      <c r="W64" s="66">
        <f ca="1">IFERROR(ROUNDUP(SUMIF(K13:K64,IF(V64-Programmdaten!U9&lt;0,V64-Programmdaten!U9+52,V64-Programmdaten!U9),S13:S64),1),"")</f>
        <v>0</v>
      </c>
      <c r="X64" s="67">
        <f>IFERROR(ROUNDDOWN(SUMIF('Gewichts-Tabelle'!K16:K67,V64,'Gewichts-Tabelle'!S16:S67),1),"")</f>
        <v>0</v>
      </c>
    </row>
  </sheetData>
  <mergeCells count="24">
    <mergeCell ref="A17:I18"/>
    <mergeCell ref="K8:L8"/>
    <mergeCell ref="A1:J3"/>
    <mergeCell ref="K1:P3"/>
    <mergeCell ref="Q1:R3"/>
    <mergeCell ref="A4:J5"/>
    <mergeCell ref="K4:P5"/>
    <mergeCell ref="Q4:R4"/>
    <mergeCell ref="Q5:R5"/>
    <mergeCell ref="R10:R11"/>
    <mergeCell ref="K10:K11"/>
    <mergeCell ref="L10:L11"/>
    <mergeCell ref="M10:M11"/>
    <mergeCell ref="N10:N11"/>
    <mergeCell ref="O10:O11"/>
    <mergeCell ref="P10:P11"/>
    <mergeCell ref="X10:X11"/>
    <mergeCell ref="O8:P8"/>
    <mergeCell ref="B8:H9"/>
    <mergeCell ref="A11:I12"/>
    <mergeCell ref="A14:I15"/>
    <mergeCell ref="W10:W11"/>
    <mergeCell ref="S10:S11"/>
    <mergeCell ref="Q10:Q11"/>
  </mergeCells>
  <phoneticPr fontId="6" type="noConversion"/>
  <dataValidations count="11">
    <dataValidation type="whole" allowBlank="1" showInputMessage="1" showErrorMessage="1" errorTitle="Achtung, Sabotage-Akt" error="Die Daten im dunkelblauen Bereich aktualisieren sich von selbst und bedürfen keiner manuellen Korrektur._x000a_Aber danke, dass du es trotzdem versucht hast!" sqref="A4:J5 Q4:R4" xr:uid="{7B1B0BC1-DC87-4155-A906-06CD45C604EF}">
      <formula1>1.0000101010101E+39</formula1>
      <formula2>1.0000101010101E+39</formula2>
    </dataValidation>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E23:J37" xr:uid="{791A6A27-EEA8-4878-9284-C11330B8860A}">
      <formula1>1.00001001001E+39</formula1>
      <formula2>1.00001001001E+39</formula2>
    </dataValidation>
    <dataValidation type="whole" allowBlank="1" showInputMessage="1" showErrorMessage="1" errorTitle="Achtung, Sabotage-Akt" error="Die Daten aktualisieren sich von selbst und bedürfen keiner manuellen Nachbearbeitung._x000a_Aber danke, dass du es trotzdem versucht hast!" sqref="K10:S11 L12:R12" xr:uid="{65575CAB-78CD-43FD-B951-53264C0E65CE}">
      <formula1>1.000001010101E+39</formula1>
      <formula2>1.000001010101E+39</formula2>
    </dataValidation>
    <dataValidation allowBlank="1" showInputMessage="1" errorTitle="Achtung, Sabotage-Akt" error="Die Daten aktualisieren sich von selbst und bedürfen keiner manuellen Nachbearbeitung._x000a_Aber danke, dass du es trotzdem versucht hast!" sqref="S12 K12 W12:X12" xr:uid="{E5933813-A129-424C-8E27-D43C37084F77}"/>
    <dataValidation allowBlank="1" showInputMessage="1" showErrorMessage="1" errorTitle="Achtung, Sabotage-Akt" error="Die Daten im dunkelblauen Bereich aktualisieren sich von selbst und bedürfen keiner manuellen Korrektur._x000a_Aber danke, dass du es trotzdem versucht hast!" sqref="Q5:R5" xr:uid="{CAC2E3E9-5F48-41B9-91BC-6BC67767F2C0}"/>
    <dataValidation type="whole" allowBlank="1" showInputMessage="1" showErrorMessage="1" errorTitle="Achtung, Sabotage-Akt!" error="Die Daten im hellgrünen Bereich berechnen sich selbst und dürfen bei der Kalkulation nicht gestört werden. Hab vielen Dank für dein Verständnis!" promptTitle="Wichtige Info!" prompt="Hier im grünen Bereich trägst du besser nichts ein!" sqref="S13:S64" xr:uid="{21AB108B-5F56-4DBA-937A-F28195C3C660}">
      <formula1>3.20333330060507E+39</formula1>
      <formula2>3.20333330060507E+39</formula2>
    </dataValidation>
    <dataValidation allowBlank="1" showInputMessage="1" showErrorMessage="1" errorTitle="Achtung, Sabotage-Akt" error="Die Daten aktualisieren sich von selbst und bedürfen keiner manuellen Nachbearbeitung._x000a_Aber danke, dass du es trotzdem versucht hast!" sqref="W10:X11" xr:uid="{C9E2D09D-89C6-4BF0-B561-624CA0A87528}"/>
    <dataValidation type="whole" allowBlank="1" showInputMessage="1" showErrorMessage="1" errorTitle="Achtung, Sabotage-Akt!" error="Die Daten im hellgrünen Bereich berechnen sich selbst und dürfen bei der Kalkulation nicht gestört werden. Hab vielen Dank für dein Verständnis!" promptTitle="Wichtige Info!" prompt="Hier im grünen Bereich trägst du besser nichts ein!" sqref="V13:X64" xr:uid="{651A4909-40BE-44F2-B80D-8CB8577612E8}">
      <formula1>1.00005060400002E+39</formula1>
      <formula2>1.00005060400002E+39</formula2>
    </dataValidation>
    <dataValidation type="whole" allowBlank="1" showInputMessage="1" showErrorMessage="1" errorTitle="Achtung, Sabotage-Akt" error="Die Daten aktualisieren sich von selbst und bedürfen keiner manuellen Nachbearbeitung._x000a_Aber danke, dass du es trotzdem versucht hast!" sqref="L13:R64" xr:uid="{E03E042F-D286-43CB-BB39-2CCD95D78C8B}">
      <formula1>1.00005046E+39</formula1>
      <formula2>1.00005046E+39</formula2>
    </dataValidation>
    <dataValidation type="whole" allowBlank="1" showInputMessage="1" showErrorMessage="1" errorTitle="Achtung, Sabotage-Akt!" error="Du darfst hier nichts eintragen oder abändern!" sqref="K1:P3" xr:uid="{F1D61977-05F6-4069-A763-12003BAF040A}">
      <formula1>1.0004056650321E+39</formula1>
      <formula2>1.0004056650321E+39</formula2>
    </dataValidation>
    <dataValidation type="whole" allowBlank="1" showInputMessage="1" showErrorMessage="1" errorTitle="Achtung, Sabotage-Akt!" error="Du darfst hier nichts notieren oder abändern!" sqref="K4:P5" xr:uid="{03BFC8A4-B15D-4A17-8671-8AADB5DDBE07}">
      <formula1>1.23456789098765E+39</formula1>
      <formula2>1.23456789098765E+39</formula2>
    </dataValidation>
  </dataValidations>
  <pageMargins left="0.7" right="0.7" top="0.78740157499999996" bottom="0.78740157499999996"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F5A6-672B-4EBE-BAD8-FE79BAE9D612}">
  <sheetPr>
    <tabColor theme="5" tint="-0.499984740745262"/>
  </sheetPr>
  <dimension ref="A1:BG471"/>
  <sheetViews>
    <sheetView topLeftCell="H440" zoomScaleNormal="100" zoomScaleSheetLayoutView="85" workbookViewId="0">
      <selection activeCell="K470" sqref="K470"/>
    </sheetView>
  </sheetViews>
  <sheetFormatPr baseColWidth="10" defaultRowHeight="15" x14ac:dyDescent="0.25"/>
  <cols>
    <col min="1" max="10" width="2.85546875" customWidth="1"/>
    <col min="19" max="19" width="1.42578125" customWidth="1"/>
    <col min="20" max="20" width="21.5703125" customWidth="1"/>
    <col min="23" max="23" width="13.7109375" customWidth="1"/>
    <col min="25" max="25" width="15.28515625" customWidth="1"/>
    <col min="34" max="34" width="2.85546875" customWidth="1"/>
  </cols>
  <sheetData>
    <row r="1" spans="1:27" x14ac:dyDescent="0.25">
      <c r="A1" s="85"/>
      <c r="B1" s="85"/>
      <c r="C1" s="85"/>
      <c r="D1" s="85"/>
      <c r="E1" s="85"/>
      <c r="F1" s="85"/>
      <c r="G1" s="85"/>
      <c r="H1" s="85"/>
      <c r="I1" s="85"/>
      <c r="J1" s="85"/>
      <c r="K1" s="83" t="str">
        <f>IF(Start!K7="English","Program data",IF(Start!K7="Español","Datos del programa","Programmdaten"))</f>
        <v>Programmdaten</v>
      </c>
      <c r="L1" s="232"/>
      <c r="M1" s="232"/>
      <c r="N1" s="232"/>
      <c r="O1" s="232"/>
      <c r="P1" s="232"/>
      <c r="Q1" s="85"/>
      <c r="R1" s="85"/>
      <c r="U1" t="s">
        <v>151</v>
      </c>
    </row>
    <row r="2" spans="1:27" x14ac:dyDescent="0.25">
      <c r="A2" s="85"/>
      <c r="B2" s="85"/>
      <c r="C2" s="85"/>
      <c r="D2" s="85"/>
      <c r="E2" s="85"/>
      <c r="F2" s="85"/>
      <c r="G2" s="85"/>
      <c r="H2" s="85"/>
      <c r="I2" s="85"/>
      <c r="J2" s="85"/>
      <c r="K2" s="232"/>
      <c r="L2" s="232"/>
      <c r="M2" s="232"/>
      <c r="N2" s="232"/>
      <c r="O2" s="232"/>
      <c r="P2" s="232"/>
      <c r="Q2" s="85"/>
      <c r="R2" s="85"/>
      <c r="Y2" t="s">
        <v>422</v>
      </c>
    </row>
    <row r="3" spans="1:27" x14ac:dyDescent="0.25">
      <c r="A3" s="85"/>
      <c r="B3" s="85"/>
      <c r="C3" s="85"/>
      <c r="D3" s="85"/>
      <c r="E3" s="85"/>
      <c r="F3" s="85"/>
      <c r="G3" s="85"/>
      <c r="H3" s="85"/>
      <c r="I3" s="85"/>
      <c r="J3" s="85"/>
      <c r="K3" s="232"/>
      <c r="L3" s="232"/>
      <c r="M3" s="232"/>
      <c r="N3" s="232"/>
      <c r="O3" s="232"/>
      <c r="P3" s="232"/>
      <c r="Q3" s="85"/>
      <c r="R3" s="85"/>
      <c r="U3" s="246" t="str">
        <f ca="1">IF('Gewichts-Ziel'!K12="Obesidad grado 3","Adipositas Grad 3",IF('Gewichts-Ziel'!K12="Obesidad grado 2","Adipositas Grad 2",IF('Gewichts-Ziel'!K12="Obesidad grado 1","Adipositas Grad 1",IF('Gewichts-Ziel'!K12="Sobrepeso","Übergewicht",IF('Gewichts-Ziel'!K12="Peso Normal","Normalgewicht",IF('Gewichts-Ziel'!K12="Bajo peso","Untergewicht",IF('Gewichts-Ziel'!K12="Untergewicht","Untergewicht",IF('Gewichts-Ziel'!K12="Underweight","Untergewicht",IF('Gewichts-Ziel'!K12="Normal weight","Normalgewicht",IF('Gewichts-Ziel'!K12="Normalgewicht","Normalgewicht",IF('Gewichts-Ziel'!K12="Übergewicht","Übergewicht",IF('Gewichts-Ziel'!K12="Overweight","Übergewicht",IF('Gewichts-Ziel'!K12="Adipositas Grad 1","Adipositas Grad 1",IF('Gewichts-Ziel'!K12="Obesity grade 1","Adipositas Grad 1",IF('Gewichts-Ziel'!K12="Adipositas Grad 2","Adipositas Grad 2",IF('Gewichts-Ziel'!K12="Obesity grade 2","Adipositas Grad 2",IF('Gewichts-Ziel'!K12="Adipositas Grad 3","Adipositas Grad 3",IF('Gewichts-Ziel'!K12="Obesity grade 3","Adipositas Grad 3","?!?"))))))))))))))))))</f>
        <v>?!?</v>
      </c>
      <c r="V3" s="246"/>
      <c r="W3" s="246"/>
      <c r="Y3" s="18" t="str">
        <f>IF('Gewichts-Ziel'!M39="1 día","1 Tag",IF('Gewichts-Ziel'!M39="2 días","2 Tage",IF('Gewichts-Ziel'!M39="3 días","3 Tage",IF('Gewichts-Ziel'!M39="4 días","4 Tage",IF('Gewichts-Ziel'!M39="1 day","1 Tag",IF('Gewichts-Ziel'!M39="2 days","2 Tage",IF('Gewichts-Ziel'!M39="3 days","3 Tage",IF('Gewichts-Ziel'!M39="4 days","4 Tage",IF('Gewichts-Ziel'!M39="1 Tag","1 Tag",IF('Gewichts-Ziel'!M39="2 Tage","2 Tage",IF('Gewichts-Ziel'!M39="3 Tage","3 Tage",IF('Gewichts-Ziel'!M39="4 Tage","4 Tage",IF('Gewichts-Ziel'!M39="1 Woche","1 Woche",IF('Gewichts-Ziel'!M39="2 Wochen","2 Wochen",IF('Gewichts-Ziel'!M39="3 Wochen","3 Wochen",IF('Gewichts-Ziel'!M39="4 Wochen","4 Wochen",IF('Gewichts-Ziel'!M39="1 week","1 Woche",IF('Gewichts-Ziel'!M39="2 weeks","2 Wochen",IF('Gewichts-Ziel'!M39="3 weeks","3 Wochen",IF('Gewichts-Ziel'!M39="4 weeks","4 Wochen",IF('Gewichts-Ziel'!M39="1 semana","1 Woche",IF('Gewichts-Ziel'!M39="2 semanas","2 Wochen",IF('Gewichts-Ziel'!M39="3 semanas","3 Wochen",IF('Gewichts-Ziel'!M39="4 semanas","4 Wochen",IF('Gewichts-Ziel'!M39="1 mes","1 Monat",IF('Gewichts-Ziel'!M39="2 meses","2 Monate",IF('Gewichts-Ziel'!M39="3 meses","3 Monate",IF('Gewichts-Ziel'!M39="4 meses","4 Monate",IF('Gewichts-Ziel'!M39="12 meses","12 Monate",IF('Gewichts-Ziel'!M39="6 meses","6 Monate",IF('Gewichts-Ziel'!M39="8 meses","8 Monate",IF('Gewichts-Ziel'!M39="9 meses","9 Monate",IF('Gewichts-Ziel'!M39="1 month","1 Monat",IF('Gewichts-Ziel'!M39="2 months","2 Monate",IF('Gewichts-Ziel'!M39="3 months","3 Monate",IF('Gewichts-Ziel'!M39="4 months","4 Monate",IF('Gewichts-Ziel'!M39="6 months","6 Monate",IF('Gewichts-Ziel'!M39="8 months","8 Monate",IF('Gewichts-Ziel'!M39="9 months","9 Monate",IF('Gewichts-Ziel'!M39="12 months","12 Monate",IF('Gewichts-Ziel'!M39="1 Monat","1 Monat",IF('Gewichts-Ziel'!M39="2 Monate","2 Monate",IF('Gewichts-Ziel'!M39="3 Monate","3 Monate",IF('Gewichts-Ziel'!M39="4 Monate","4 Monate",IF('Gewichts-Ziel'!M39="6 Monate","6 Monate",IF('Gewichts-Ziel'!M39="8 Monate","8 Monate",IF('Gewichts-Ziel'!M39="9 Monate","9 Monate",IF('Gewichts-Ziel'!M39="12 Monate","12 Monate","?!?"))))))))))))))))))))))))))))))))))))))))))))))))</f>
        <v>2 Tage</v>
      </c>
    </row>
    <row r="4" spans="1:27" ht="15.75" x14ac:dyDescent="0.25">
      <c r="A4" s="237" t="str">
        <f ca="1">WEEKNUM(NOW())&amp;". Kalenderwoche"</f>
        <v>33. Kalenderwoche</v>
      </c>
      <c r="B4" s="237"/>
      <c r="C4" s="237"/>
      <c r="D4" s="237"/>
      <c r="E4" s="237"/>
      <c r="F4" s="237"/>
      <c r="G4" s="237"/>
      <c r="H4" s="237"/>
      <c r="I4" s="237"/>
      <c r="J4" s="237"/>
      <c r="K4" s="238" t="str">
        <f>IF(Start!K7="English","Hello "&amp;'Persönliche Daten'!M14&amp;", you seem to be a bit lost here, this program section is not intended for users!",IF(Start!K7="Español","Hola "&amp;'Persönliche Daten'!M14&amp;", parece que estás un poco perdido aquí, ¡esta sección del programa no está pensada para usuarios!","Hallo "&amp;'Persönliche Daten'!M14&amp;", du hast dich hier wohl ein wenig verirrt, dieser Programmabschnitt ist nicht für Anwender gedacht!"))</f>
        <v>Hallo , du hast dich hier wohl ein wenig verirrt, dieser Programmabschnitt ist nicht für Anwender gedacht!</v>
      </c>
      <c r="L4" s="238"/>
      <c r="M4" s="238"/>
      <c r="N4" s="238"/>
      <c r="O4" s="238"/>
      <c r="P4" s="238"/>
      <c r="Q4" s="239">
        <f ca="1">DATE(YEAR(NOW()),MONTH(NOW()),DAY(NOW()))</f>
        <v>45154</v>
      </c>
      <c r="R4" s="240"/>
    </row>
    <row r="5" spans="1:27" ht="15.75" x14ac:dyDescent="0.25">
      <c r="A5" s="237"/>
      <c r="B5" s="237"/>
      <c r="C5" s="237"/>
      <c r="D5" s="237"/>
      <c r="E5" s="237"/>
      <c r="F5" s="237"/>
      <c r="G5" s="237"/>
      <c r="H5" s="237"/>
      <c r="I5" s="237"/>
      <c r="J5" s="237"/>
      <c r="K5" s="238"/>
      <c r="L5" s="238"/>
      <c r="M5" s="238"/>
      <c r="N5" s="238"/>
      <c r="O5" s="238"/>
      <c r="P5" s="238"/>
      <c r="Q5" s="245" t="str">
        <f ca="1">IF(HOUR(NOW())&lt;10,"0"&amp;HOUR(NOW()),HOUR(NOW()))&amp;":"&amp;IF(MINUTE(NOW())&lt;10,"0"&amp;MINUTE(NOW()),MINUTE(NOW()))&amp;" Uhr"</f>
        <v>19:34 Uhr</v>
      </c>
      <c r="R5" s="240"/>
    </row>
    <row r="7" spans="1:27" x14ac:dyDescent="0.25">
      <c r="K7" s="7" t="str">
        <f>"                                                                                                                                                                                                               "</f>
        <v xml:space="preserve">                                                                                                                                                                                                               </v>
      </c>
      <c r="L7" s="7"/>
      <c r="M7" s="7"/>
      <c r="N7" s="7"/>
      <c r="O7" s="7"/>
      <c r="P7" s="7"/>
      <c r="Q7" s="7"/>
      <c r="R7" s="7"/>
      <c r="T7" t="s">
        <v>134</v>
      </c>
      <c r="W7" s="22" t="s">
        <v>143</v>
      </c>
      <c r="Y7" t="s">
        <v>146</v>
      </c>
      <c r="Z7" s="18">
        <f>_xlfn.NUMBERVALUE(RIGHT('Gewichts-Ziel'!M58,2))</f>
        <v>33</v>
      </c>
    </row>
    <row r="8" spans="1:27" x14ac:dyDescent="0.25">
      <c r="B8" s="79" t="str">
        <f>IF(Start!K6="English","Start",IF(Start!K6="Español","Inicio","Start"))</f>
        <v>Start</v>
      </c>
      <c r="C8" s="79"/>
      <c r="D8" s="79"/>
      <c r="E8" s="79"/>
      <c r="F8" s="79"/>
      <c r="G8" s="79"/>
      <c r="H8" s="79"/>
      <c r="K8" s="11" t="s">
        <v>1</v>
      </c>
    </row>
    <row r="9" spans="1:27" x14ac:dyDescent="0.25">
      <c r="B9" s="79"/>
      <c r="C9" s="79"/>
      <c r="D9" s="79"/>
      <c r="E9" s="79"/>
      <c r="F9" s="79"/>
      <c r="G9" s="79"/>
      <c r="H9" s="79"/>
      <c r="K9" t="s">
        <v>2</v>
      </c>
      <c r="T9" t="s">
        <v>133</v>
      </c>
      <c r="U9" s="31">
        <f ca="1">WEEKNUM(NOW())-0</f>
        <v>33</v>
      </c>
      <c r="W9" s="18" t="str">
        <f ca="1">IF(U27&lt;2,IF(Start!K7="English","1 day",IF(Start!K7="Español","1 día","1 Tag")),IF(U27&lt;6,IF(Start!K7="English","1 week",IF(Start!K7="Español","1 semana","1 Woche")),IF(U27&lt;12,IF(Start!K7="English","1 month",IF(Start!K7="Español","1 mes","1 Monat")),IF(U27&lt;18,IF(Start!K7="English","2 month",IF(Start!K7="Español","2 meses","2 Monate")),IF(Start!K7="English","3 months",IF(Start!K7="Español","3 meses","3 Monate"))))))</f>
        <v>1 Tag</v>
      </c>
      <c r="Y9" s="18" t="str">
        <f>IF(Start!K7="English","CW 01",IF(Start!K7="Español","CS 01","KW 01"))</f>
        <v>KW 01</v>
      </c>
      <c r="AA9" t="s">
        <v>176</v>
      </c>
    </row>
    <row r="10" spans="1:27" x14ac:dyDescent="0.25">
      <c r="K10" t="s">
        <v>3</v>
      </c>
      <c r="W10" s="18" t="str">
        <f ca="1">IF(U27&lt;2,IF(Start!K7="English","2 days",IF(Start!K7="Español","2 días","2 Tage")),IF(U27&lt;6,IF(Start!K7="English","2 weeks",IF(Start!K7="Español","2 semanas","2 Wochen")),IF(U27&lt;12,IF(Start!K7="English","2 months",IF(Start!K7="Español","2 meses","2 Monate")),IF(U27&lt;18,IF(Start!K7="English","4 months",IF(Start!K7="Español","4 meses","4 Monate")),IF(Start!K7="English","6 months",IF(Start!K7="Español","6 meses","6 Monate"))))))</f>
        <v>2 Tage</v>
      </c>
      <c r="Y10" s="18" t="str">
        <f>IF(Start!K7="English","CW 02",IF(Start!K7="Español","CS 02","KW 02"))</f>
        <v>KW 02</v>
      </c>
    </row>
    <row r="11" spans="1:27" x14ac:dyDescent="0.25">
      <c r="A11" s="79" t="str">
        <f>IF(Start!K6="English","Personal data",IF(Start!K6="Español","Datos personales","Persönliche Daten"))</f>
        <v>Persönliche Daten</v>
      </c>
      <c r="B11" s="79"/>
      <c r="C11" s="79"/>
      <c r="D11" s="79"/>
      <c r="E11" s="79"/>
      <c r="F11" s="79"/>
      <c r="G11" s="79"/>
      <c r="H11" s="79"/>
      <c r="I11" s="79"/>
      <c r="K11" t="s">
        <v>4</v>
      </c>
      <c r="T11" s="258" t="s">
        <v>135</v>
      </c>
      <c r="U11" s="206">
        <f ca="1">IF(WEEKDAY(NOW())=6,SUMIF('Gewichts-Tabelle'!K16:K67,Programmdaten!U9,'Gewichts-Tabelle'!Q16:Q67),IF(WEEKDAY(NOW())=7,SUMIF('Gewichts-Tabelle'!K16:K67,Programmdaten!U9,'Gewichts-Tabelle'!R16:R67),IF(WEEKDAY(NOW())=5,SUMIF('Gewichts-Tabelle'!K16:K67,Programmdaten!U9,'Gewichts-Tabelle'!P16:P67),IF(WEEKDAY(NOW())=4,SUMIF('Gewichts-Tabelle'!K16:K67,Programmdaten!U9,'Gewichts-Tabelle'!O16:O67),IF(WEEKDAY(NOW())=3,SUMIF('Gewichts-Tabelle'!K16:K67,Programmdaten!U9,'Gewichts-Tabelle'!N16:N67),IF(WEEKDAY(NOW())=2,SUMIF('Gewichts-Tabelle'!K16:K67,Programmdaten!U9,'Gewichts-Tabelle'!M16:M67),IF(WEEKDAY(NOW())=1,SUMIF('Gewichts-Tabelle'!K16:K67,Programmdaten!U9,'Gewichts-Tabelle'!L16:L67),"")))))))</f>
        <v>0</v>
      </c>
      <c r="W11" s="18" t="str">
        <f ca="1">IF(U27&lt;2,IF(Start!K7="English","3 days",IF(Start!K7="Español","3 días","3 Tage")),IF(U27&lt;6,IF(Start!K7="English","3 weeks",IF(Start!K7="Español","3 semanas","3 Wochen")),IF(U27&lt;12,IF(Start!K7="English","3 months",IF(Start!K7="Español","3 meses","3 Monate")),IF(U27&lt;18,IF(Start!K7="English","6 months",IF(Start!K7="Español","6 meses","6 Monate")),IF(Start!K7="English","9 months",IF(Start!K7="Español","9 meses","9 Monate"))))))</f>
        <v>3 Tage</v>
      </c>
      <c r="Y11" s="18" t="str">
        <f>IF(Start!K7="English","CW 03",IF(Start!K7="Español","CS 03","KW 03"))</f>
        <v>KW 03</v>
      </c>
      <c r="AA11" t="str">
        <f>IF(Start!K7="English","Do not lose weight so tightly!",IF(Start!K7="Español","¡No adelgaces tan deprisa!","Nicht so stramm abnehmen!"))</f>
        <v>Nicht so stramm abnehmen!</v>
      </c>
    </row>
    <row r="12" spans="1:27" x14ac:dyDescent="0.25">
      <c r="A12" s="79"/>
      <c r="B12" s="79"/>
      <c r="C12" s="79"/>
      <c r="D12" s="79"/>
      <c r="E12" s="79"/>
      <c r="F12" s="79"/>
      <c r="G12" s="79"/>
      <c r="H12" s="79"/>
      <c r="I12" s="79"/>
      <c r="K12" s="12" t="s">
        <v>16</v>
      </c>
      <c r="T12" s="258"/>
      <c r="U12" s="206"/>
      <c r="W12" s="18" t="str">
        <f ca="1">IF(U27&lt;2,IF(Start!K7="English","4 days",IF(Start!K7="Español","4 días","4 Tage")),IF(U27&lt;6,IF(Start!K7="English","4 weeks",IF(Start!K7="Español","4 semanas","4 Wochen")),IF(U27&lt;12,IF(Start!K7="English","4 months",IF(Start!K7="Español","4 meses","4 Monate")),IF(U27&lt;18,IF(Start!K7="English","8 months",IF(Start!K7="Español","8 meses","8 Monate")),IF(Start!K7="English","12 months",IF(Start!K7="Español","12 meses","12 Monate"))))))</f>
        <v>4 Tage</v>
      </c>
      <c r="Y12" s="18" t="str">
        <f>IF(Start!K7="English","CW 04",IF(Start!K7="Español","CS 04","KW 04"))</f>
        <v>KW 04</v>
      </c>
      <c r="AA12" t="str">
        <f>IF(Start!K7="English","Excellent!",IF(Start!K7="Español","¡Excelente!","Exzellent!"))</f>
        <v>Exzellent!</v>
      </c>
    </row>
    <row r="13" spans="1:27" x14ac:dyDescent="0.25">
      <c r="K13" t="s">
        <v>19</v>
      </c>
      <c r="Y13" s="18" t="str">
        <f>IF(Start!K7="English","CW 05",IF(Start!K7="Español","CS 05","KW 05"))</f>
        <v>KW 05</v>
      </c>
      <c r="AA13" t="str">
        <f>IF(Start!K7="English","Perfect!",IF(Start!K7="Español","¡Perfecto!","Perfekt!"))</f>
        <v>Perfekt!</v>
      </c>
    </row>
    <row r="14" spans="1:27" x14ac:dyDescent="0.25">
      <c r="A14" s="79" t="str">
        <f>IF(Start!K6="English","Weight table",IF(Start!K6="Español","Tabla de pesos","Gewichtstabelle"))</f>
        <v>Gewichtstabelle</v>
      </c>
      <c r="B14" s="79"/>
      <c r="C14" s="79"/>
      <c r="D14" s="79"/>
      <c r="E14" s="79"/>
      <c r="F14" s="79"/>
      <c r="G14" s="79"/>
      <c r="H14" s="79"/>
      <c r="I14" s="79"/>
      <c r="K14" t="s">
        <v>17</v>
      </c>
      <c r="T14" t="s">
        <v>137</v>
      </c>
      <c r="U14" s="18" t="str">
        <f>IF(ROUNDDOWN('Persönliche Daten'!M18,2)=0,"1,00",'Persönliche Daten'!M18)</f>
        <v>1,00</v>
      </c>
      <c r="Y14" s="18" t="str">
        <f>IF(Start!K7="English","CW 06",IF(Start!K7="Español","CS 06","KW 06"))</f>
        <v>KW 06</v>
      </c>
      <c r="AA14" t="str">
        <f>IF(Start!K7="English","All right!",IF(Start!K7="Español","¡Vale!","In Ordnung!"))</f>
        <v>In Ordnung!</v>
      </c>
    </row>
    <row r="15" spans="1:27" x14ac:dyDescent="0.25">
      <c r="A15" s="79"/>
      <c r="B15" s="79"/>
      <c r="C15" s="79"/>
      <c r="D15" s="79"/>
      <c r="E15" s="79"/>
      <c r="F15" s="79"/>
      <c r="G15" s="79"/>
      <c r="H15" s="79"/>
      <c r="I15" s="79"/>
      <c r="K15" t="s">
        <v>18</v>
      </c>
      <c r="W15" s="48" t="s">
        <v>157</v>
      </c>
      <c r="Y15" s="18" t="str">
        <f>IF(Start!K7="English","CW 07",IF(Start!K7="Español","CS 07","KW 07"))</f>
        <v>KW 07</v>
      </c>
      <c r="AA15" t="str">
        <f>IF(Start!K7="English","A little bit to much!",IF(Start!K7="Español","¡Un poco demasiado!","Etwas zuviel!"))</f>
        <v>Etwas zuviel!</v>
      </c>
    </row>
    <row r="16" spans="1:27" x14ac:dyDescent="0.25">
      <c r="K16" t="s">
        <v>20</v>
      </c>
      <c r="T16" t="s">
        <v>136</v>
      </c>
      <c r="U16" s="18">
        <f ca="1">ROUNDDOWN(U11/(U14*U14),1)</f>
        <v>0</v>
      </c>
      <c r="W16" s="48" t="s">
        <v>158</v>
      </c>
      <c r="Y16" s="18" t="str">
        <f>IF(Start!K7="English","CW 08",IF(Start!K7="Español","CS 08","KW 08"))</f>
        <v>KW 08</v>
      </c>
      <c r="AA16" t="str">
        <f>IF(Start!K7="English","Much to much!",IF(Start!K7="Español","¡Demasiado!","Viel zuviel!"))</f>
        <v>Viel zuviel!</v>
      </c>
    </row>
    <row r="17" spans="1:59" x14ac:dyDescent="0.25">
      <c r="A17" s="79" t="str">
        <f>IF(Start!K6="English","Weight target",IF(Start!K6="Español","Objetivo de peso","Gewichts-Ziel"))</f>
        <v>Gewichts-Ziel</v>
      </c>
      <c r="B17" s="79"/>
      <c r="C17" s="79"/>
      <c r="D17" s="79"/>
      <c r="E17" s="79"/>
      <c r="F17" s="79"/>
      <c r="G17" s="79"/>
      <c r="H17" s="79"/>
      <c r="I17" s="79"/>
      <c r="K17" t="s">
        <v>65</v>
      </c>
      <c r="W17" s="48" t="s">
        <v>159</v>
      </c>
      <c r="Y17" s="18" t="str">
        <f>IF(Start!K7="English","CW 09",IF(Start!K7="Español","CS 09","KW 09"))</f>
        <v>KW 09</v>
      </c>
      <c r="AA17" t="str">
        <f>IF(Start!K7="English","Oh my God!",IF(Start!K7="Español","¡Santa Madre de Dios!","Oh mein Gott!"))</f>
        <v>Oh mein Gott!</v>
      </c>
    </row>
    <row r="18" spans="1:59" x14ac:dyDescent="0.25">
      <c r="A18" s="79"/>
      <c r="B18" s="79"/>
      <c r="C18" s="79"/>
      <c r="D18" s="79"/>
      <c r="E18" s="79"/>
      <c r="F18" s="79"/>
      <c r="G18" s="79"/>
      <c r="H18" s="79"/>
      <c r="I18" s="79"/>
      <c r="K18" t="s">
        <v>5</v>
      </c>
      <c r="T18" s="84" t="s">
        <v>138</v>
      </c>
      <c r="U18" s="206">
        <f ca="1">IFERROR(SUMIF('Gewichts-Tabelle'!K16:K67,Programmdaten!U9,'Gewichts-Tabelle'!S16:S67),"")</f>
        <v>0</v>
      </c>
      <c r="W18" s="48" t="s">
        <v>160</v>
      </c>
      <c r="Y18" s="18" t="str">
        <f>IF(Start!K7="English","CW 10",IF(Start!K7="Español","CS 10","KW 10"))</f>
        <v>KW 10</v>
      </c>
    </row>
    <row r="19" spans="1:59" x14ac:dyDescent="0.25">
      <c r="K19" t="s">
        <v>6</v>
      </c>
      <c r="T19" s="84"/>
      <c r="U19" s="206"/>
      <c r="W19" s="48" t="s">
        <v>161</v>
      </c>
      <c r="Y19" s="18" t="str">
        <f>IF(Start!K7="English","CW 11",IF(Start!K7="Español","CS 11","KW 11"))</f>
        <v>KW 11</v>
      </c>
      <c r="AE19" t="s">
        <v>154</v>
      </c>
      <c r="AG19" s="50">
        <v>2</v>
      </c>
    </row>
    <row r="20" spans="1:59" x14ac:dyDescent="0.25">
      <c r="K20" t="s">
        <v>7</v>
      </c>
      <c r="W20" s="48" t="s">
        <v>162</v>
      </c>
      <c r="Y20" s="18" t="str">
        <f>IF(Start!K7="English","CW 12",IF(Start!K7="Español","CS 12","KW 12"))</f>
        <v>KW 12</v>
      </c>
    </row>
    <row r="21" spans="1:59" x14ac:dyDescent="0.25">
      <c r="K21" t="s">
        <v>8</v>
      </c>
      <c r="T21" t="s">
        <v>139</v>
      </c>
      <c r="U21" s="206">
        <f ca="1">IF(U3="Adipositas Grad 1",ROUNDDOWN(25*'Persönliche Daten'!M18*'Persönliche Daten'!M18,1),IF(U3="Adipositas Grad 2",ROUNDDOWN(30*'Persönliche Daten'!M18*'Persönliche Daten'!M18,1),IF(U3="Adipositas Grad 3",ROUNDDOWN(35*'Persönliche Daten'!M18*'Persönliche Daten'!M18,1),ROUNDDOWN(18.5*'Persönliche Daten'!M18*'Persönliche Daten'!M18,1))))</f>
        <v>0</v>
      </c>
      <c r="W21" s="48" t="s">
        <v>163</v>
      </c>
      <c r="Y21" s="18" t="str">
        <f>IF(Start!K7="English","CW 13",IF(Start!K7="Español","CS 13","KW 13"))</f>
        <v>KW 13</v>
      </c>
      <c r="AE21" t="s">
        <v>155</v>
      </c>
      <c r="AG21" s="50" t="s">
        <v>162</v>
      </c>
    </row>
    <row r="22" spans="1:59" x14ac:dyDescent="0.25">
      <c r="K22" t="s">
        <v>9</v>
      </c>
      <c r="T22" t="s">
        <v>141</v>
      </c>
      <c r="U22" s="206"/>
      <c r="W22" s="48" t="s">
        <v>164</v>
      </c>
      <c r="Y22" s="18" t="str">
        <f>IF(Start!K7="English","CW 14",IF(Start!K7="Español","CS 14","KW 14"))</f>
        <v>KW 14</v>
      </c>
      <c r="AL22" s="258" t="s">
        <v>171</v>
      </c>
      <c r="AN22" s="84" t="s">
        <v>172</v>
      </c>
      <c r="AO22" s="84"/>
    </row>
    <row r="23" spans="1:59" ht="15" customHeight="1" thickBot="1" x14ac:dyDescent="0.3">
      <c r="K23" t="s">
        <v>10</v>
      </c>
      <c r="W23" s="48" t="s">
        <v>165</v>
      </c>
      <c r="Y23" s="18" t="str">
        <f>IF(Start!K7="English","CW 15",IF(Start!K7="Español","CS 15","KW 15"))</f>
        <v>KW 15</v>
      </c>
      <c r="AE23" t="s">
        <v>156</v>
      </c>
      <c r="AG23" s="50">
        <v>2024</v>
      </c>
      <c r="AI23" s="251" t="s">
        <v>169</v>
      </c>
      <c r="AJ23" s="252"/>
      <c r="AL23" s="258"/>
      <c r="AM23" s="49"/>
      <c r="AN23" s="84"/>
      <c r="AO23" s="84"/>
    </row>
    <row r="24" spans="1:59" x14ac:dyDescent="0.25">
      <c r="K24" t="s">
        <v>35</v>
      </c>
      <c r="T24" t="s">
        <v>139</v>
      </c>
      <c r="U24" s="206">
        <f ca="1">IF(U3="Adipositas Grad 1",ROUNDDOWN(30*'Persönliche Daten'!M18*'Persönliche Daten'!M18,1),IF(U3="Adipositas Grad 2",ROUNDDOWN(35*'Persönliche Daten'!M18*'Persönliche Daten'!M18,1),IF(U3="Adipositas Grad 3",ROUNDDOWN(40*'Persönliche Daten'!M18*'Persönliche Daten'!M18,1),ROUNDDOWN(25*'Persönliche Daten'!M18*'Persönliche Daten'!M18,1))))</f>
        <v>0</v>
      </c>
      <c r="W24" s="48" t="s">
        <v>166</v>
      </c>
      <c r="Y24" s="18" t="str">
        <f>IF(Start!K7="English","CW 16",IF(Start!K7="Español","CS 16","KW 16"))</f>
        <v>KW 16</v>
      </c>
      <c r="AI24" s="253">
        <f ca="1">DATE(YEAR(NOW())-IF(AI23="Wunschtermin",YEAR(NOW())-AG23,0),MONTH(NOW())-IF(AI23="Wunschtermin",MONTH(NOW())-(IF(AG21="Januar",1,IF(AG21="Februar",2,IF(AG21="März",3,IF(AG21="April",4,IF(AG21="Mai",5,IF(AG21="Juni",6,IF(AG21="Juli",7,IF(AG21="August",8,IF(AG21="September",9,IF(AG21="Oktober",10,IF(AG21="November",11,IF(AG21="Dezember",12,0)))))))))))))),DAY(NOW()))-IF(AI23="Wunschtermin",DAY(NOW())-AG19,0)</f>
        <v>45154</v>
      </c>
      <c r="AJ24" s="254"/>
      <c r="AL24" s="243">
        <f ca="1">WEEKDAY(AI24)</f>
        <v>4</v>
      </c>
      <c r="AM24" s="49"/>
      <c r="AN24" s="247" t="str">
        <f ca="1">IF(AL24=1,"Sonntag",IF(AL24=2,"Montag",IF(AL24=3,"Dienstag",IF(AL24=4,"Mittwoch",IF(AL24=5,"Donnerstag",IF(AL24=6,"Freitag",IF(AL24=7,"Samstag","zonk!")))))))</f>
        <v>Mittwoch</v>
      </c>
      <c r="AO24" s="248"/>
    </row>
    <row r="25" spans="1:59" ht="15.75" thickBot="1" x14ac:dyDescent="0.3">
      <c r="K25" t="s">
        <v>63</v>
      </c>
      <c r="T25" t="s">
        <v>140</v>
      </c>
      <c r="U25" s="206"/>
      <c r="W25" s="48" t="s">
        <v>167</v>
      </c>
      <c r="Y25" s="18" t="str">
        <f>IF(Start!K7="English","CW 17",IF(Start!K7="Español","CS 17","KW 17"))</f>
        <v>KW 17</v>
      </c>
      <c r="AI25" s="255"/>
      <c r="AJ25" s="256"/>
      <c r="AL25" s="244"/>
      <c r="AN25" s="249"/>
      <c r="AO25" s="250"/>
    </row>
    <row r="26" spans="1:59" x14ac:dyDescent="0.25">
      <c r="K26" t="s">
        <v>64</v>
      </c>
      <c r="W26" s="48" t="s">
        <v>168</v>
      </c>
      <c r="Y26" s="18" t="str">
        <f>IF(Start!K7="English","CW 18",IF(Start!K7="Español","CS 18","KW 18"))</f>
        <v>KW 18</v>
      </c>
    </row>
    <row r="27" spans="1:59" ht="15" customHeight="1" x14ac:dyDescent="0.25">
      <c r="K27" t="s">
        <v>21</v>
      </c>
      <c r="T27" s="21" t="s">
        <v>142</v>
      </c>
      <c r="U27" s="18">
        <f ca="1">SQRT('Gewichts-Ziel'!N34*'Gewichts-Ziel'!N34)</f>
        <v>0</v>
      </c>
      <c r="Y27" s="18" t="str">
        <f>IF(Start!K7="English","CW 19",IF(Start!K7="Español","CS 19","KW 19"))</f>
        <v>KW 19</v>
      </c>
      <c r="AI27" s="257" t="s">
        <v>173</v>
      </c>
      <c r="AJ27" s="257"/>
      <c r="AK27" s="257"/>
      <c r="AL27" s="257"/>
      <c r="AM27" s="257"/>
      <c r="AN27" s="257"/>
      <c r="AO27" s="10"/>
      <c r="AP27" s="10"/>
      <c r="AQ27" s="10"/>
      <c r="AR27" s="10"/>
      <c r="AS27" s="10"/>
      <c r="AT27" s="10"/>
      <c r="AU27" s="10"/>
      <c r="AV27" s="10"/>
      <c r="AW27" s="10"/>
      <c r="AX27" s="10"/>
      <c r="AY27" s="10"/>
      <c r="AZ27" s="10"/>
      <c r="BA27" s="10"/>
      <c r="BB27" s="10"/>
      <c r="BC27" s="10"/>
      <c r="BD27" s="10"/>
      <c r="BE27" s="10"/>
      <c r="BF27" s="10"/>
      <c r="BG27" s="10"/>
    </row>
    <row r="28" spans="1:59" x14ac:dyDescent="0.25">
      <c r="K28" t="s">
        <v>22</v>
      </c>
      <c r="W28" s="48" t="s">
        <v>169</v>
      </c>
      <c r="Y28" s="18" t="str">
        <f>IF(Start!K7="English","CW 20",IF(Start!K7="Español","CS 20","KW 20"))</f>
        <v>KW 20</v>
      </c>
      <c r="AI28" s="257"/>
      <c r="AJ28" s="257"/>
      <c r="AK28" s="257"/>
      <c r="AL28" s="257"/>
      <c r="AM28" s="257"/>
      <c r="AN28" s="257"/>
      <c r="AO28" s="10"/>
      <c r="AP28" s="10"/>
      <c r="AQ28" s="10"/>
      <c r="AR28" s="10"/>
      <c r="AS28" s="10"/>
      <c r="AT28" s="10"/>
      <c r="AU28" s="10"/>
      <c r="AV28" s="10"/>
      <c r="AW28" s="10"/>
      <c r="AX28" s="10"/>
      <c r="AY28" s="10"/>
      <c r="AZ28" s="10"/>
      <c r="BA28" s="10"/>
      <c r="BB28" s="10"/>
      <c r="BC28" s="10"/>
      <c r="BD28" s="10"/>
      <c r="BE28" s="10"/>
      <c r="BF28" s="10"/>
      <c r="BG28" s="10"/>
    </row>
    <row r="29" spans="1:59" x14ac:dyDescent="0.25">
      <c r="T29" s="21" t="s">
        <v>144</v>
      </c>
      <c r="U29" s="23">
        <f ca="1">IF(Programmdaten!Y3="1 Tag",ROUNDDOWN(Programmdaten!U27*1000,1),IF(Programmdaten!Y3="2 Tage",ROUNDDOWN(Programmdaten!U27*500,1),IF(Programmdaten!Y3="3 Tage",ROUNDDOWN(Programmdaten!U27*333,1),IF(Programmdaten!Y3="4 Tage",ROUNDDOWN(Programmdaten!U27*250,1),IF(Programmdaten!Y3="1 Woche",ROUNDDOWN(Programmdaten!U27*1000/6,1),IF(Programmdaten!Y3="2 Wochen",ROUNDDOWN(Programmdaten!U27*1000/13,1),IF(Programmdaten!Y3="3 Wochen",ROUNDDOWN(Programmdaten!U27*1000/20,1),IF(Programmdaten!Y3="4 Wochen",ROUNDDOWN(Programmdaten!U27*1000/27,1),IF(Programmdaten!Y3="1 Monat",ROUNDDOWN(Programmdaten!U27*1000/30,1),IF(Programmdaten!Y3="2 Monate",ROUNDDOWN(Programmdaten!U27*1000/60,1),IF(Programmdaten!Y3="3 Monate",ROUNDDOWN(Programmdaten!U27*1000/90,1),IF(Programmdaten!Y3="4 Monate",ROUNDDOWN(Programmdaten!U27*1000/120,1),IF(Programmdaten!Y3="6 Monate",ROUNDDOWN(Programmdaten!U27*1000/180,1),IF(Programmdaten!Y3="8 Monate",ROUNDDOWN(Programmdaten!U27*1000/240,1),IF(Programmdaten!Y3="9 Monate",ROUNDDOWN(Programmdaten!U27*1000/270,1),ROUNDDOWN(Programmdaten!U27*1000/355,1))))))))))))))))</f>
        <v>0</v>
      </c>
      <c r="V29" t="s">
        <v>145</v>
      </c>
      <c r="W29" s="48" t="s">
        <v>170</v>
      </c>
      <c r="Y29" s="18" t="str">
        <f>IF(Start!K7="English","CW 21",IF(Start!K7="Español","CS 21","KW 21"))</f>
        <v>KW 21</v>
      </c>
      <c r="AI29" s="257"/>
      <c r="AJ29" s="257"/>
      <c r="AK29" s="257"/>
      <c r="AL29" s="257"/>
      <c r="AM29" s="257"/>
      <c r="AN29" s="257"/>
      <c r="AO29" s="10"/>
      <c r="AP29" s="10"/>
      <c r="AQ29" s="10"/>
      <c r="AR29" s="10"/>
      <c r="AS29" s="10"/>
      <c r="AT29" s="10"/>
      <c r="AU29" s="10"/>
      <c r="AV29" s="10"/>
      <c r="AW29" s="10"/>
      <c r="AX29" s="10"/>
      <c r="AY29" s="10"/>
      <c r="AZ29" s="10"/>
      <c r="BA29" s="10"/>
      <c r="BB29" s="10"/>
      <c r="BC29" s="10"/>
      <c r="BD29" s="10"/>
      <c r="BE29" s="10"/>
      <c r="BF29" s="10"/>
      <c r="BG29" s="10"/>
    </row>
    <row r="30" spans="1:59" x14ac:dyDescent="0.25">
      <c r="Y30" s="18" t="str">
        <f>IF(Start!K7="English","CW 22",IF(Start!K7="Español","CS 22","KW 22"))</f>
        <v>KW 22</v>
      </c>
      <c r="AI30" s="257"/>
      <c r="AJ30" s="257"/>
      <c r="AK30" s="257"/>
      <c r="AL30" s="257"/>
      <c r="AM30" s="257"/>
      <c r="AN30" s="257"/>
      <c r="AO30" s="10"/>
      <c r="AP30" s="10"/>
      <c r="AQ30" s="10"/>
      <c r="AR30" s="10"/>
      <c r="AS30" s="10"/>
      <c r="AT30" s="10"/>
      <c r="AU30" s="10"/>
      <c r="AV30" s="10"/>
      <c r="AW30" s="10"/>
      <c r="AX30" s="10"/>
      <c r="AY30" s="10"/>
      <c r="AZ30" s="10"/>
      <c r="BA30" s="10"/>
      <c r="BB30" s="10"/>
      <c r="BC30" s="10"/>
      <c r="BD30" s="10"/>
      <c r="BE30" s="10"/>
      <c r="BF30" s="10"/>
      <c r="BG30" s="10"/>
    </row>
    <row r="31" spans="1:59" x14ac:dyDescent="0.25">
      <c r="T31" t="s">
        <v>147</v>
      </c>
      <c r="U31" s="18">
        <f ca="1">IF('Gewichts-Ziel'!N34&lt;0,Programmdaten!U29*-1,Programmdaten!U29)</f>
        <v>0</v>
      </c>
      <c r="Y31" s="18" t="str">
        <f>IF(Start!K7="English","CW 23",IF(Start!K7="Español","CS 23","KW 23"))</f>
        <v>KW 23</v>
      </c>
      <c r="AI31" s="257"/>
      <c r="AJ31" s="257"/>
      <c r="AK31" s="257"/>
      <c r="AL31" s="257"/>
      <c r="AM31" s="257"/>
      <c r="AN31" s="257"/>
      <c r="AO31" s="10"/>
      <c r="AP31" s="10"/>
      <c r="AQ31" s="10"/>
      <c r="AR31" s="10"/>
      <c r="AS31" s="10"/>
      <c r="AT31" s="10"/>
      <c r="AU31" s="10"/>
      <c r="AV31" s="10"/>
      <c r="AW31" s="10"/>
      <c r="AX31" s="10"/>
      <c r="AY31" s="10"/>
      <c r="AZ31" s="10"/>
      <c r="BA31" s="10"/>
      <c r="BB31" s="10"/>
      <c r="BC31" s="10"/>
      <c r="BD31" s="10"/>
      <c r="BE31" s="10"/>
      <c r="BF31" s="10"/>
      <c r="BG31" s="10"/>
    </row>
    <row r="32" spans="1:59" x14ac:dyDescent="0.25">
      <c r="K32" s="9" t="s">
        <v>11</v>
      </c>
      <c r="Y32" s="18" t="str">
        <f>IF(Start!K7="English","CW 24",IF(Start!K7="Español","CS 24","KW 24"))</f>
        <v>KW 24</v>
      </c>
      <c r="AI32" s="257"/>
      <c r="AJ32" s="257"/>
      <c r="AK32" s="257"/>
      <c r="AL32" s="257"/>
      <c r="AM32" s="257"/>
      <c r="AN32" s="257"/>
      <c r="AO32" s="10"/>
      <c r="AP32" s="10"/>
      <c r="AQ32" s="10"/>
      <c r="AR32" s="10"/>
      <c r="AS32" s="10"/>
      <c r="AT32" s="10"/>
      <c r="AU32" s="10"/>
      <c r="AV32" s="10"/>
      <c r="AW32" s="10"/>
      <c r="AX32" s="10"/>
      <c r="AY32" s="10"/>
      <c r="AZ32" s="10"/>
      <c r="BA32" s="10"/>
      <c r="BB32" s="10"/>
      <c r="BC32" s="10"/>
      <c r="BD32" s="10"/>
      <c r="BE32" s="10"/>
      <c r="BF32" s="10"/>
      <c r="BG32" s="10"/>
    </row>
    <row r="33" spans="11:59" x14ac:dyDescent="0.25">
      <c r="K33" t="s">
        <v>12</v>
      </c>
      <c r="T33" t="s">
        <v>148</v>
      </c>
      <c r="U33" s="18">
        <f ca="1">U31/1000</f>
        <v>0</v>
      </c>
      <c r="Y33" s="18" t="str">
        <f>IF(Start!K7="English","CW 25",IF(Start!K7="Español","CS 25","KW 25"))</f>
        <v>KW 25</v>
      </c>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row>
    <row r="34" spans="11:59" x14ac:dyDescent="0.25">
      <c r="K34" t="s">
        <v>13</v>
      </c>
      <c r="Y34" s="18" t="str">
        <f>IF(Start!K7="English","CW 26",IF(Start!K7="Español","CS 26","KW 26"))</f>
        <v>KW 26</v>
      </c>
    </row>
    <row r="35" spans="11:59" x14ac:dyDescent="0.25">
      <c r="K35" t="s">
        <v>39</v>
      </c>
      <c r="T35" t="s">
        <v>174</v>
      </c>
      <c r="U35" s="18">
        <f>_xlfn.NUMBERVALUE(RIGHT('Gewichts-Ziel'!M58,2))</f>
        <v>33</v>
      </c>
      <c r="Y35" s="18" t="str">
        <f>IF(Start!K7="English","CW 27",IF(Start!K7="Español","CS 27","KW 27"))</f>
        <v>KW 27</v>
      </c>
    </row>
    <row r="36" spans="11:59" x14ac:dyDescent="0.25">
      <c r="K36" t="s">
        <v>31</v>
      </c>
      <c r="Y36" s="18" t="str">
        <f>IF(Start!K7="English","CW 28",IF(Start!K7="Español","CS 28","KW 28"))</f>
        <v>KW 28</v>
      </c>
    </row>
    <row r="37" spans="11:59" x14ac:dyDescent="0.25">
      <c r="K37" t="s">
        <v>32</v>
      </c>
      <c r="T37" t="s">
        <v>175</v>
      </c>
      <c r="U37" s="18">
        <f ca="1">IF(U9=U35,U9-U35,IF(U9&gt;U35,U9-U35,52+U9-U35))</f>
        <v>0</v>
      </c>
      <c r="Y37" s="18" t="str">
        <f>IF(Start!K7="English","CW 29",IF(Start!K7="Español","CS 29","KW 29"))</f>
        <v>KW 29</v>
      </c>
    </row>
    <row r="38" spans="11:59" x14ac:dyDescent="0.25">
      <c r="K38" t="s">
        <v>23</v>
      </c>
      <c r="Y38" s="18" t="str">
        <f>IF(Start!K7="English","CW 30",IF(Start!K7="Español","CS 30","KW 30"))</f>
        <v>KW 30</v>
      </c>
    </row>
    <row r="39" spans="11:59" x14ac:dyDescent="0.25">
      <c r="K39" t="s">
        <v>24</v>
      </c>
      <c r="Y39" s="18" t="str">
        <f>IF(Start!K7="English","CW 31",IF(Start!K7="Español","CS 31","KW 31"))</f>
        <v>KW 31</v>
      </c>
    </row>
    <row r="40" spans="11:59" x14ac:dyDescent="0.25">
      <c r="K40" t="s">
        <v>37</v>
      </c>
      <c r="Y40" s="18" t="str">
        <f>IF(Start!K7="English","CW 32",IF(Start!K7="Español","CS 32","KW 32"))</f>
        <v>KW 32</v>
      </c>
    </row>
    <row r="41" spans="11:59" x14ac:dyDescent="0.25">
      <c r="K41" t="s">
        <v>36</v>
      </c>
      <c r="Y41" s="18" t="str">
        <f>IF(Start!K7="English","CW 33",IF(Start!K7="Español","CS 33","KW 33"))</f>
        <v>KW 33</v>
      </c>
    </row>
    <row r="42" spans="11:59" x14ac:dyDescent="0.25">
      <c r="K42" t="s">
        <v>33</v>
      </c>
      <c r="Y42" s="18" t="str">
        <f>IF(Start!K7="English","CW 34",IF(Start!K7="Español","CS 34","KW 34"))</f>
        <v>KW 34</v>
      </c>
    </row>
    <row r="43" spans="11:59" x14ac:dyDescent="0.25">
      <c r="K43" t="s">
        <v>34</v>
      </c>
      <c r="Y43" s="18" t="str">
        <f>IF(Start!K7="English","CW 35",IF(Start!K7="Español","CS 35","KW 35"))</f>
        <v>KW 35</v>
      </c>
    </row>
    <row r="44" spans="11:59" x14ac:dyDescent="0.25">
      <c r="K44" t="str">
        <f>"Die Behandlung von Adipositas Grad 2 erfordert einen multidisziplinären Ansatz."</f>
        <v>Die Behandlung von Adipositas Grad 2 erfordert einen multidisziplinären Ansatz.</v>
      </c>
      <c r="Y44" s="18" t="str">
        <f>IF(Start!K7="English","CW 36",IF(Start!K7="Español","CS 36","KW 36"))</f>
        <v>KW 36</v>
      </c>
    </row>
    <row r="45" spans="11:59" x14ac:dyDescent="0.25">
      <c r="K45" t="s">
        <v>26</v>
      </c>
      <c r="Y45" s="18" t="str">
        <f>IF(Start!K7="English","CW 37",IF(Start!K7="Español","CS 37","KW 37"))</f>
        <v>KW 37</v>
      </c>
    </row>
    <row r="46" spans="11:59" x14ac:dyDescent="0.25">
      <c r="K46" t="s">
        <v>27</v>
      </c>
      <c r="Y46" s="18" t="str">
        <f>IF(Start!K7="English","CW 38",IF(Start!K7="Español","CS 38","KW 38"))</f>
        <v>KW 38</v>
      </c>
    </row>
    <row r="47" spans="11:59" x14ac:dyDescent="0.25">
      <c r="K47" t="s">
        <v>28</v>
      </c>
      <c r="Y47" s="18" t="str">
        <f>IF(Start!K7="English","CW 39",IF(Start!K7="Español","CS 39","KW 39"))</f>
        <v>KW 39</v>
      </c>
    </row>
    <row r="48" spans="11:59" x14ac:dyDescent="0.25">
      <c r="K48" t="s">
        <v>29</v>
      </c>
      <c r="Y48" s="18" t="str">
        <f>IF(Start!K7="English","CW 40",IF(Start!K7="Español","CS 40","KW 40"))</f>
        <v>KW 40</v>
      </c>
    </row>
    <row r="49" spans="11:25" x14ac:dyDescent="0.25">
      <c r="K49" t="s">
        <v>38</v>
      </c>
      <c r="Y49" s="18" t="str">
        <f>IF(Start!K7="English","CW 41",IF(Start!K7="Español","CS 41","KW 41"))</f>
        <v>KW 41</v>
      </c>
    </row>
    <row r="50" spans="11:25" x14ac:dyDescent="0.25">
      <c r="K50" t="s">
        <v>25</v>
      </c>
      <c r="Y50" s="18" t="str">
        <f>IF(Start!K7="English","CW 42",IF(Start!K7="Español","CS 42","KW 42"))</f>
        <v>KW 42</v>
      </c>
    </row>
    <row r="51" spans="11:25" x14ac:dyDescent="0.25">
      <c r="K51" t="s">
        <v>30</v>
      </c>
      <c r="Y51" s="18" t="str">
        <f>IF(Start!K7="English","CW 43",IF(Start!K7="Español","CS 43","KW 43"))</f>
        <v>KW 43</v>
      </c>
    </row>
    <row r="52" spans="11:25" x14ac:dyDescent="0.25">
      <c r="Y52" s="18" t="str">
        <f>IF(Start!K7="English","CW 44",IF(Start!K7="Español","CS 44","KW 44"))</f>
        <v>KW 44</v>
      </c>
    </row>
    <row r="53" spans="11:25" x14ac:dyDescent="0.25">
      <c r="Y53" s="18" t="str">
        <f>IF(Start!K7="English","CW 45",IF(Start!K7="Español","CS 45","KW 45"))</f>
        <v>KW 45</v>
      </c>
    </row>
    <row r="54" spans="11:25" x14ac:dyDescent="0.25">
      <c r="Y54" s="18" t="str">
        <f>IF(Start!K7="English","CW 46",IF(Start!K7="Español","CS 46","KW 46"))</f>
        <v>KW 46</v>
      </c>
    </row>
    <row r="55" spans="11:25" x14ac:dyDescent="0.25">
      <c r="Y55" s="18" t="str">
        <f>IF(Start!K7="English","CW 47",IF(Start!K7="Español","CS 47","KW 47"))</f>
        <v>KW 47</v>
      </c>
    </row>
    <row r="56" spans="11:25" x14ac:dyDescent="0.25">
      <c r="K56" s="9" t="s">
        <v>40</v>
      </c>
      <c r="Y56" s="18" t="str">
        <f>IF(Start!K7="English","CW 48",IF(Start!K7="Español","CS 48","KW 48"))</f>
        <v>KW 48</v>
      </c>
    </row>
    <row r="57" spans="11:25" x14ac:dyDescent="0.25">
      <c r="K57" t="s">
        <v>41</v>
      </c>
      <c r="Y57" s="18" t="str">
        <f>IF(Start!K7="English","CW 49",IF(Start!K7="Español","CS 49","KW 49"))</f>
        <v>KW 49</v>
      </c>
    </row>
    <row r="58" spans="11:25" x14ac:dyDescent="0.25">
      <c r="K58" t="s">
        <v>42</v>
      </c>
      <c r="Y58" s="18" t="str">
        <f>IF(Start!K7="English","CW 50",IF(Start!K7="Español","CS 50","KW 50"))</f>
        <v>KW 50</v>
      </c>
    </row>
    <row r="59" spans="11:25" x14ac:dyDescent="0.25">
      <c r="K59" t="s">
        <v>43</v>
      </c>
      <c r="Y59" s="18" t="str">
        <f>IF(Start!K7="English","CW 51",IF(Start!K7="Español","CS 51","KW 51"))</f>
        <v>KW 51</v>
      </c>
    </row>
    <row r="60" spans="11:25" x14ac:dyDescent="0.25">
      <c r="K60" t="s">
        <v>44</v>
      </c>
      <c r="Y60" s="18" t="str">
        <f>IF(Start!K7="English","CW 52",IF(Start!K7="Español","CS 52","KW 52"))</f>
        <v>KW 52</v>
      </c>
    </row>
    <row r="61" spans="11:25" x14ac:dyDescent="0.25">
      <c r="K61" t="s">
        <v>45</v>
      </c>
    </row>
    <row r="62" spans="11:25" x14ac:dyDescent="0.25">
      <c r="K62" t="s">
        <v>46</v>
      </c>
    </row>
    <row r="63" spans="11:25" x14ac:dyDescent="0.25">
      <c r="K63" t="s">
        <v>47</v>
      </c>
      <c r="Y63" s="18" t="s">
        <v>149</v>
      </c>
    </row>
    <row r="64" spans="11:25" x14ac:dyDescent="0.25">
      <c r="K64" t="s">
        <v>51</v>
      </c>
      <c r="Y64" s="18" t="s">
        <v>150</v>
      </c>
    </row>
    <row r="65" spans="11:25" x14ac:dyDescent="0.25">
      <c r="K65" t="s">
        <v>48</v>
      </c>
      <c r="Y65" s="18" t="s">
        <v>151</v>
      </c>
    </row>
    <row r="66" spans="11:25" x14ac:dyDescent="0.25">
      <c r="K66" t="s">
        <v>49</v>
      </c>
    </row>
    <row r="67" spans="11:25" x14ac:dyDescent="0.25">
      <c r="K67" t="s">
        <v>50</v>
      </c>
    </row>
    <row r="68" spans="11:25" x14ac:dyDescent="0.25">
      <c r="K68" t="s">
        <v>52</v>
      </c>
    </row>
    <row r="69" spans="11:25" x14ac:dyDescent="0.25">
      <c r="K69" t="s">
        <v>55</v>
      </c>
    </row>
    <row r="70" spans="11:25" x14ac:dyDescent="0.25">
      <c r="K70" t="s">
        <v>53</v>
      </c>
    </row>
    <row r="71" spans="11:25" x14ac:dyDescent="0.25">
      <c r="K71" t="s">
        <v>54</v>
      </c>
    </row>
    <row r="72" spans="11:25" x14ac:dyDescent="0.25">
      <c r="K72" t="s">
        <v>56</v>
      </c>
    </row>
    <row r="73" spans="11:25" x14ac:dyDescent="0.25">
      <c r="K73" t="s">
        <v>57</v>
      </c>
    </row>
    <row r="74" spans="11:25" x14ac:dyDescent="0.25">
      <c r="K74" t="s">
        <v>58</v>
      </c>
    </row>
    <row r="75" spans="11:25" x14ac:dyDescent="0.25">
      <c r="K75" t="s">
        <v>62</v>
      </c>
    </row>
    <row r="76" spans="11:25" x14ac:dyDescent="0.25">
      <c r="K76" t="s">
        <v>61</v>
      </c>
    </row>
    <row r="77" spans="11:25" x14ac:dyDescent="0.25">
      <c r="K77" t="s">
        <v>59</v>
      </c>
    </row>
    <row r="78" spans="11:25" x14ac:dyDescent="0.25">
      <c r="K78" t="s">
        <v>60</v>
      </c>
    </row>
    <row r="82" spans="11:11" x14ac:dyDescent="0.25">
      <c r="K82" s="9" t="s">
        <v>66</v>
      </c>
    </row>
    <row r="83" spans="11:11" x14ac:dyDescent="0.25">
      <c r="K83" t="s">
        <v>67</v>
      </c>
    </row>
    <row r="84" spans="11:11" x14ac:dyDescent="0.25">
      <c r="K84" t="s">
        <v>68</v>
      </c>
    </row>
    <row r="85" spans="11:11" x14ac:dyDescent="0.25">
      <c r="K85" t="s">
        <v>69</v>
      </c>
    </row>
    <row r="86" spans="11:11" x14ac:dyDescent="0.25">
      <c r="K86" t="s">
        <v>73</v>
      </c>
    </row>
    <row r="87" spans="11:11" x14ac:dyDescent="0.25">
      <c r="K87" t="s">
        <v>74</v>
      </c>
    </row>
    <row r="88" spans="11:11" x14ac:dyDescent="0.25">
      <c r="K88" t="s">
        <v>75</v>
      </c>
    </row>
    <row r="89" spans="11:11" x14ac:dyDescent="0.25">
      <c r="K89" t="s">
        <v>70</v>
      </c>
    </row>
    <row r="90" spans="11:11" x14ac:dyDescent="0.25">
      <c r="K90" t="s">
        <v>71</v>
      </c>
    </row>
    <row r="91" spans="11:11" x14ac:dyDescent="0.25">
      <c r="K91" t="s">
        <v>72</v>
      </c>
    </row>
    <row r="92" spans="11:11" x14ac:dyDescent="0.25">
      <c r="K92" t="s">
        <v>76</v>
      </c>
    </row>
    <row r="93" spans="11:11" x14ac:dyDescent="0.25">
      <c r="K93" t="s">
        <v>77</v>
      </c>
    </row>
    <row r="94" spans="11:11" x14ac:dyDescent="0.25">
      <c r="K94" t="s">
        <v>78</v>
      </c>
    </row>
    <row r="95" spans="11:11" x14ac:dyDescent="0.25">
      <c r="K95" t="s">
        <v>79</v>
      </c>
    </row>
    <row r="96" spans="11:11" x14ac:dyDescent="0.25">
      <c r="K96" t="s">
        <v>80</v>
      </c>
    </row>
    <row r="97" spans="11:11" x14ac:dyDescent="0.25">
      <c r="K97" t="s">
        <v>81</v>
      </c>
    </row>
    <row r="98" spans="11:11" x14ac:dyDescent="0.25">
      <c r="K98" t="s">
        <v>82</v>
      </c>
    </row>
    <row r="99" spans="11:11" x14ac:dyDescent="0.25">
      <c r="K99" t="s">
        <v>83</v>
      </c>
    </row>
    <row r="100" spans="11:11" x14ac:dyDescent="0.25">
      <c r="K100" t="s">
        <v>84</v>
      </c>
    </row>
    <row r="101" spans="11:11" x14ac:dyDescent="0.25">
      <c r="K101" t="s">
        <v>85</v>
      </c>
    </row>
    <row r="102" spans="11:11" x14ac:dyDescent="0.25">
      <c r="K102" t="s">
        <v>86</v>
      </c>
    </row>
    <row r="103" spans="11:11" x14ac:dyDescent="0.25">
      <c r="K103" t="s">
        <v>87</v>
      </c>
    </row>
    <row r="104" spans="11:11" x14ac:dyDescent="0.25">
      <c r="K104" t="s">
        <v>88</v>
      </c>
    </row>
    <row r="108" spans="11:11" x14ac:dyDescent="0.25">
      <c r="K108" s="9" t="s">
        <v>89</v>
      </c>
    </row>
    <row r="109" spans="11:11" x14ac:dyDescent="0.25">
      <c r="K109" t="s">
        <v>90</v>
      </c>
    </row>
    <row r="110" spans="11:11" x14ac:dyDescent="0.25">
      <c r="K110" t="s">
        <v>91</v>
      </c>
    </row>
    <row r="111" spans="11:11" x14ac:dyDescent="0.25">
      <c r="K111" t="s">
        <v>92</v>
      </c>
    </row>
    <row r="112" spans="11:11" x14ac:dyDescent="0.25">
      <c r="K112" t="s">
        <v>93</v>
      </c>
    </row>
    <row r="113" spans="11:11" x14ac:dyDescent="0.25">
      <c r="K113" t="s">
        <v>94</v>
      </c>
    </row>
    <row r="114" spans="11:11" x14ac:dyDescent="0.25">
      <c r="K114" t="s">
        <v>95</v>
      </c>
    </row>
    <row r="115" spans="11:11" x14ac:dyDescent="0.25">
      <c r="K115" t="s">
        <v>96</v>
      </c>
    </row>
    <row r="116" spans="11:11" x14ac:dyDescent="0.25">
      <c r="K116" t="s">
        <v>97</v>
      </c>
    </row>
    <row r="117" spans="11:11" x14ac:dyDescent="0.25">
      <c r="K117" t="s">
        <v>98</v>
      </c>
    </row>
    <row r="118" spans="11:11" x14ac:dyDescent="0.25">
      <c r="K118" t="s">
        <v>99</v>
      </c>
    </row>
    <row r="119" spans="11:11" x14ac:dyDescent="0.25">
      <c r="K119" t="s">
        <v>100</v>
      </c>
    </row>
    <row r="120" spans="11:11" x14ac:dyDescent="0.25">
      <c r="K120" t="s">
        <v>101</v>
      </c>
    </row>
    <row r="121" spans="11:11" x14ac:dyDescent="0.25">
      <c r="K121" t="s">
        <v>102</v>
      </c>
    </row>
    <row r="122" spans="11:11" x14ac:dyDescent="0.25">
      <c r="K122" t="s">
        <v>103</v>
      </c>
    </row>
    <row r="123" spans="11:11" x14ac:dyDescent="0.25">
      <c r="K123" t="s">
        <v>104</v>
      </c>
    </row>
    <row r="124" spans="11:11" x14ac:dyDescent="0.25">
      <c r="K124" t="s">
        <v>105</v>
      </c>
    </row>
    <row r="125" spans="11:11" x14ac:dyDescent="0.25">
      <c r="K125" t="s">
        <v>106</v>
      </c>
    </row>
    <row r="126" spans="11:11" x14ac:dyDescent="0.25">
      <c r="K126" t="s">
        <v>107</v>
      </c>
    </row>
    <row r="127" spans="11:11" x14ac:dyDescent="0.25">
      <c r="K127" t="s">
        <v>108</v>
      </c>
    </row>
    <row r="131" spans="11:11" x14ac:dyDescent="0.25">
      <c r="K131" s="9" t="s">
        <v>109</v>
      </c>
    </row>
    <row r="132" spans="11:11" x14ac:dyDescent="0.25">
      <c r="K132" t="s">
        <v>110</v>
      </c>
    </row>
    <row r="133" spans="11:11" x14ac:dyDescent="0.25">
      <c r="K133" t="s">
        <v>111</v>
      </c>
    </row>
    <row r="134" spans="11:11" x14ac:dyDescent="0.25">
      <c r="K134" t="s">
        <v>112</v>
      </c>
    </row>
    <row r="135" spans="11:11" x14ac:dyDescent="0.25">
      <c r="K135" t="s">
        <v>113</v>
      </c>
    </row>
    <row r="136" spans="11:11" x14ac:dyDescent="0.25">
      <c r="K136" t="s">
        <v>114</v>
      </c>
    </row>
    <row r="137" spans="11:11" x14ac:dyDescent="0.25">
      <c r="K137" t="s">
        <v>115</v>
      </c>
    </row>
    <row r="138" spans="11:11" x14ac:dyDescent="0.25">
      <c r="K138" t="s">
        <v>116</v>
      </c>
    </row>
    <row r="139" spans="11:11" x14ac:dyDescent="0.25">
      <c r="K139" t="s">
        <v>117</v>
      </c>
    </row>
    <row r="140" spans="11:11" x14ac:dyDescent="0.25">
      <c r="K140" t="s">
        <v>118</v>
      </c>
    </row>
    <row r="141" spans="11:11" x14ac:dyDescent="0.25">
      <c r="K141" t="s">
        <v>119</v>
      </c>
    </row>
    <row r="142" spans="11:11" x14ac:dyDescent="0.25">
      <c r="K142" t="s">
        <v>120</v>
      </c>
    </row>
    <row r="143" spans="11:11" x14ac:dyDescent="0.25">
      <c r="K143" t="s">
        <v>121</v>
      </c>
    </row>
    <row r="144" spans="11:11" x14ac:dyDescent="0.25">
      <c r="K144" t="s">
        <v>127</v>
      </c>
    </row>
    <row r="145" spans="11:11" x14ac:dyDescent="0.25">
      <c r="K145" t="s">
        <v>122</v>
      </c>
    </row>
    <row r="146" spans="11:11" x14ac:dyDescent="0.25">
      <c r="K146" t="s">
        <v>123</v>
      </c>
    </row>
    <row r="147" spans="11:11" x14ac:dyDescent="0.25">
      <c r="K147" t="s">
        <v>124</v>
      </c>
    </row>
    <row r="148" spans="11:11" x14ac:dyDescent="0.25">
      <c r="K148" t="s">
        <v>125</v>
      </c>
    </row>
    <row r="149" spans="11:11" x14ac:dyDescent="0.25">
      <c r="K149" t="s">
        <v>126</v>
      </c>
    </row>
    <row r="150" spans="11:11" x14ac:dyDescent="0.25">
      <c r="K150" t="s">
        <v>128</v>
      </c>
    </row>
    <row r="151" spans="11:11" x14ac:dyDescent="0.25">
      <c r="K151" t="s">
        <v>129</v>
      </c>
    </row>
    <row r="152" spans="11:11" x14ac:dyDescent="0.25">
      <c r="K152" t="s">
        <v>130</v>
      </c>
    </row>
    <row r="153" spans="11:11" x14ac:dyDescent="0.25">
      <c r="K153" t="s">
        <v>131</v>
      </c>
    </row>
    <row r="157" spans="11:11" x14ac:dyDescent="0.25">
      <c r="K157" s="3" t="s">
        <v>177</v>
      </c>
    </row>
    <row r="158" spans="11:11" x14ac:dyDescent="0.25">
      <c r="K158" t="s">
        <v>179</v>
      </c>
    </row>
    <row r="159" spans="11:11" x14ac:dyDescent="0.25">
      <c r="K159" t="s">
        <v>180</v>
      </c>
    </row>
    <row r="160" spans="11:11" x14ac:dyDescent="0.25">
      <c r="K160" t="s">
        <v>181</v>
      </c>
    </row>
    <row r="161" spans="11:11" x14ac:dyDescent="0.25">
      <c r="K161" t="s">
        <v>185</v>
      </c>
    </row>
    <row r="162" spans="11:11" x14ac:dyDescent="0.25">
      <c r="K162" t="s">
        <v>182</v>
      </c>
    </row>
    <row r="163" spans="11:11" x14ac:dyDescent="0.25">
      <c r="K163" t="s">
        <v>184</v>
      </c>
    </row>
    <row r="164" spans="11:11" x14ac:dyDescent="0.25">
      <c r="K164" t="s">
        <v>183</v>
      </c>
    </row>
    <row r="165" spans="11:11" x14ac:dyDescent="0.25">
      <c r="K165" t="s">
        <v>186</v>
      </c>
    </row>
    <row r="166" spans="11:11" x14ac:dyDescent="0.25">
      <c r="K166" t="s">
        <v>187</v>
      </c>
    </row>
    <row r="167" spans="11:11" x14ac:dyDescent="0.25">
      <c r="K167" t="s">
        <v>188</v>
      </c>
    </row>
    <row r="168" spans="11:11" x14ac:dyDescent="0.25">
      <c r="K168" t="s">
        <v>189</v>
      </c>
    </row>
    <row r="169" spans="11:11" x14ac:dyDescent="0.25">
      <c r="K169" t="s">
        <v>190</v>
      </c>
    </row>
    <row r="170" spans="11:11" x14ac:dyDescent="0.25">
      <c r="K170" t="s">
        <v>191</v>
      </c>
    </row>
    <row r="171" spans="11:11" x14ac:dyDescent="0.25">
      <c r="K171" t="s">
        <v>192</v>
      </c>
    </row>
    <row r="172" spans="11:11" x14ac:dyDescent="0.25">
      <c r="K172" t="s">
        <v>193</v>
      </c>
    </row>
    <row r="173" spans="11:11" x14ac:dyDescent="0.25">
      <c r="K173" t="s">
        <v>194</v>
      </c>
    </row>
    <row r="174" spans="11:11" x14ac:dyDescent="0.25">
      <c r="K174" t="s">
        <v>195</v>
      </c>
    </row>
    <row r="175" spans="11:11" x14ac:dyDescent="0.25">
      <c r="K175" t="s">
        <v>216</v>
      </c>
    </row>
    <row r="176" spans="11:11" x14ac:dyDescent="0.25">
      <c r="K176" t="s">
        <v>196</v>
      </c>
    </row>
    <row r="177" spans="11:11" x14ac:dyDescent="0.25">
      <c r="K177" t="s">
        <v>178</v>
      </c>
    </row>
    <row r="181" spans="11:11" x14ac:dyDescent="0.25">
      <c r="K181" s="3" t="s">
        <v>197</v>
      </c>
    </row>
    <row r="182" spans="11:11" x14ac:dyDescent="0.25">
      <c r="K182" t="s">
        <v>198</v>
      </c>
    </row>
    <row r="183" spans="11:11" x14ac:dyDescent="0.25">
      <c r="K183" t="s">
        <v>199</v>
      </c>
    </row>
    <row r="184" spans="11:11" x14ac:dyDescent="0.25">
      <c r="K184" t="s">
        <v>200</v>
      </c>
    </row>
    <row r="185" spans="11:11" x14ac:dyDescent="0.25">
      <c r="K185" t="s">
        <v>201</v>
      </c>
    </row>
    <row r="186" spans="11:11" x14ac:dyDescent="0.25">
      <c r="K186" t="s">
        <v>202</v>
      </c>
    </row>
    <row r="187" spans="11:11" x14ac:dyDescent="0.25">
      <c r="K187" t="s">
        <v>203</v>
      </c>
    </row>
    <row r="188" spans="11:11" x14ac:dyDescent="0.25">
      <c r="K188" t="s">
        <v>204</v>
      </c>
    </row>
    <row r="189" spans="11:11" x14ac:dyDescent="0.25">
      <c r="K189" t="s">
        <v>205</v>
      </c>
    </row>
    <row r="190" spans="11:11" x14ac:dyDescent="0.25">
      <c r="K190" t="s">
        <v>206</v>
      </c>
    </row>
    <row r="191" spans="11:11" x14ac:dyDescent="0.25">
      <c r="K191" t="s">
        <v>207</v>
      </c>
    </row>
    <row r="192" spans="11:11" x14ac:dyDescent="0.25">
      <c r="K192" t="s">
        <v>208</v>
      </c>
    </row>
    <row r="193" spans="11:11" x14ac:dyDescent="0.25">
      <c r="K193" t="s">
        <v>215</v>
      </c>
    </row>
    <row r="194" spans="11:11" x14ac:dyDescent="0.25">
      <c r="K194" t="s">
        <v>209</v>
      </c>
    </row>
    <row r="195" spans="11:11" x14ac:dyDescent="0.25">
      <c r="K195" t="s">
        <v>210</v>
      </c>
    </row>
    <row r="196" spans="11:11" x14ac:dyDescent="0.25">
      <c r="K196" t="s">
        <v>211</v>
      </c>
    </row>
    <row r="197" spans="11:11" x14ac:dyDescent="0.25">
      <c r="K197" t="s">
        <v>212</v>
      </c>
    </row>
    <row r="198" spans="11:11" x14ac:dyDescent="0.25">
      <c r="K198" t="s">
        <v>213</v>
      </c>
    </row>
    <row r="199" spans="11:11" x14ac:dyDescent="0.25">
      <c r="K199" t="s">
        <v>214</v>
      </c>
    </row>
    <row r="203" spans="11:11" x14ac:dyDescent="0.25">
      <c r="K203" s="3" t="s">
        <v>217</v>
      </c>
    </row>
    <row r="204" spans="11:11" x14ac:dyDescent="0.25">
      <c r="K204" t="s">
        <v>218</v>
      </c>
    </row>
    <row r="205" spans="11:11" x14ac:dyDescent="0.25">
      <c r="K205" t="s">
        <v>219</v>
      </c>
    </row>
    <row r="206" spans="11:11" x14ac:dyDescent="0.25">
      <c r="K206" t="s">
        <v>220</v>
      </c>
    </row>
    <row r="207" spans="11:11" x14ac:dyDescent="0.25">
      <c r="K207" t="s">
        <v>221</v>
      </c>
    </row>
    <row r="208" spans="11:11" x14ac:dyDescent="0.25">
      <c r="K208" t="s">
        <v>222</v>
      </c>
    </row>
    <row r="209" spans="11:11" x14ac:dyDescent="0.25">
      <c r="K209" t="s">
        <v>223</v>
      </c>
    </row>
    <row r="210" spans="11:11" x14ac:dyDescent="0.25">
      <c r="K210" t="s">
        <v>247</v>
      </c>
    </row>
    <row r="211" spans="11:11" x14ac:dyDescent="0.25">
      <c r="K211" t="s">
        <v>224</v>
      </c>
    </row>
    <row r="212" spans="11:11" x14ac:dyDescent="0.25">
      <c r="K212" t="s">
        <v>225</v>
      </c>
    </row>
    <row r="213" spans="11:11" x14ac:dyDescent="0.25">
      <c r="K213" t="s">
        <v>226</v>
      </c>
    </row>
    <row r="214" spans="11:11" x14ac:dyDescent="0.25">
      <c r="K214" t="s">
        <v>227</v>
      </c>
    </row>
    <row r="215" spans="11:11" x14ac:dyDescent="0.25">
      <c r="K215" t="s">
        <v>228</v>
      </c>
    </row>
    <row r="216" spans="11:11" x14ac:dyDescent="0.25">
      <c r="K216" t="s">
        <v>229</v>
      </c>
    </row>
    <row r="217" spans="11:11" x14ac:dyDescent="0.25">
      <c r="K217" t="s">
        <v>248</v>
      </c>
    </row>
    <row r="222" spans="11:11" x14ac:dyDescent="0.25">
      <c r="K222" s="3" t="s">
        <v>230</v>
      </c>
    </row>
    <row r="223" spans="11:11" x14ac:dyDescent="0.25">
      <c r="K223" t="s">
        <v>231</v>
      </c>
    </row>
    <row r="224" spans="11:11" x14ac:dyDescent="0.25">
      <c r="K224" t="s">
        <v>232</v>
      </c>
    </row>
    <row r="225" spans="11:11" x14ac:dyDescent="0.25">
      <c r="K225" t="s">
        <v>233</v>
      </c>
    </row>
    <row r="226" spans="11:11" x14ac:dyDescent="0.25">
      <c r="K226" t="s">
        <v>234</v>
      </c>
    </row>
    <row r="227" spans="11:11" x14ac:dyDescent="0.25">
      <c r="K227" t="s">
        <v>235</v>
      </c>
    </row>
    <row r="228" spans="11:11" x14ac:dyDescent="0.25">
      <c r="K228" t="s">
        <v>236</v>
      </c>
    </row>
    <row r="229" spans="11:11" x14ac:dyDescent="0.25">
      <c r="K229" t="s">
        <v>237</v>
      </c>
    </row>
    <row r="230" spans="11:11" x14ac:dyDescent="0.25">
      <c r="K230" t="s">
        <v>238</v>
      </c>
    </row>
    <row r="231" spans="11:11" x14ac:dyDescent="0.25">
      <c r="K231" t="s">
        <v>239</v>
      </c>
    </row>
    <row r="232" spans="11:11" x14ac:dyDescent="0.25">
      <c r="K232" t="s">
        <v>240</v>
      </c>
    </row>
    <row r="233" spans="11:11" x14ac:dyDescent="0.25">
      <c r="K233" t="s">
        <v>241</v>
      </c>
    </row>
    <row r="234" spans="11:11" x14ac:dyDescent="0.25">
      <c r="K234" t="s">
        <v>242</v>
      </c>
    </row>
    <row r="235" spans="11:11" x14ac:dyDescent="0.25">
      <c r="K235" t="s">
        <v>243</v>
      </c>
    </row>
    <row r="236" spans="11:11" x14ac:dyDescent="0.25">
      <c r="K236" t="s">
        <v>244</v>
      </c>
    </row>
    <row r="237" spans="11:11" x14ac:dyDescent="0.25">
      <c r="K237" t="s">
        <v>245</v>
      </c>
    </row>
    <row r="238" spans="11:11" x14ac:dyDescent="0.25">
      <c r="K238" t="s">
        <v>246</v>
      </c>
    </row>
    <row r="242" spans="11:11" x14ac:dyDescent="0.25">
      <c r="K242" s="3" t="s">
        <v>249</v>
      </c>
    </row>
    <row r="243" spans="11:11" x14ac:dyDescent="0.25">
      <c r="K243" t="s">
        <v>250</v>
      </c>
    </row>
    <row r="244" spans="11:11" x14ac:dyDescent="0.25">
      <c r="K244" t="s">
        <v>251</v>
      </c>
    </row>
    <row r="245" spans="11:11" x14ac:dyDescent="0.25">
      <c r="K245" t="s">
        <v>252</v>
      </c>
    </row>
    <row r="246" spans="11:11" x14ac:dyDescent="0.25">
      <c r="K246" t="s">
        <v>253</v>
      </c>
    </row>
    <row r="247" spans="11:11" x14ac:dyDescent="0.25">
      <c r="K247" t="s">
        <v>254</v>
      </c>
    </row>
    <row r="248" spans="11:11" x14ac:dyDescent="0.25">
      <c r="K248" t="s">
        <v>255</v>
      </c>
    </row>
    <row r="249" spans="11:11" x14ac:dyDescent="0.25">
      <c r="K249" s="69" t="s">
        <v>256</v>
      </c>
    </row>
    <row r="250" spans="11:11" x14ac:dyDescent="0.25">
      <c r="K250" t="s">
        <v>257</v>
      </c>
    </row>
    <row r="251" spans="11:11" x14ac:dyDescent="0.25">
      <c r="K251" t="s">
        <v>258</v>
      </c>
    </row>
    <row r="252" spans="11:11" x14ac:dyDescent="0.25">
      <c r="K252" t="s">
        <v>259</v>
      </c>
    </row>
    <row r="253" spans="11:11" x14ac:dyDescent="0.25">
      <c r="K253" t="s">
        <v>260</v>
      </c>
    </row>
    <row r="254" spans="11:11" x14ac:dyDescent="0.25">
      <c r="K254" t="s">
        <v>261</v>
      </c>
    </row>
    <row r="255" spans="11:11" x14ac:dyDescent="0.25">
      <c r="K255" t="s">
        <v>262</v>
      </c>
    </row>
    <row r="256" spans="11:11" x14ac:dyDescent="0.25">
      <c r="K256" t="s">
        <v>263</v>
      </c>
    </row>
    <row r="257" spans="11:11" x14ac:dyDescent="0.25">
      <c r="K257" t="s">
        <v>264</v>
      </c>
    </row>
    <row r="261" spans="11:11" x14ac:dyDescent="0.25">
      <c r="K261" s="3" t="s">
        <v>265</v>
      </c>
    </row>
    <row r="262" spans="11:11" x14ac:dyDescent="0.25">
      <c r="K262" t="s">
        <v>266</v>
      </c>
    </row>
    <row r="263" spans="11:11" x14ac:dyDescent="0.25">
      <c r="K263" t="s">
        <v>267</v>
      </c>
    </row>
    <row r="264" spans="11:11" x14ac:dyDescent="0.25">
      <c r="K264" t="s">
        <v>268</v>
      </c>
    </row>
    <row r="265" spans="11:11" x14ac:dyDescent="0.25">
      <c r="K265" t="s">
        <v>269</v>
      </c>
    </row>
    <row r="266" spans="11:11" x14ac:dyDescent="0.25">
      <c r="K266" t="s">
        <v>270</v>
      </c>
    </row>
    <row r="267" spans="11:11" x14ac:dyDescent="0.25">
      <c r="K267" t="s">
        <v>271</v>
      </c>
    </row>
    <row r="268" spans="11:11" x14ac:dyDescent="0.25">
      <c r="K268" t="s">
        <v>272</v>
      </c>
    </row>
    <row r="269" spans="11:11" x14ac:dyDescent="0.25">
      <c r="K269" t="s">
        <v>273</v>
      </c>
    </row>
    <row r="270" spans="11:11" x14ac:dyDescent="0.25">
      <c r="K270" t="s">
        <v>274</v>
      </c>
    </row>
    <row r="271" spans="11:11" x14ac:dyDescent="0.25">
      <c r="K271" t="s">
        <v>275</v>
      </c>
    </row>
    <row r="272" spans="11:11" x14ac:dyDescent="0.25">
      <c r="K272" t="s">
        <v>276</v>
      </c>
    </row>
    <row r="273" spans="11:11" x14ac:dyDescent="0.25">
      <c r="K273" t="s">
        <v>277</v>
      </c>
    </row>
    <row r="274" spans="11:11" x14ac:dyDescent="0.25">
      <c r="K274" t="s">
        <v>278</v>
      </c>
    </row>
    <row r="275" spans="11:11" x14ac:dyDescent="0.25">
      <c r="K275" t="s">
        <v>283</v>
      </c>
    </row>
    <row r="276" spans="11:11" x14ac:dyDescent="0.25">
      <c r="K276" t="s">
        <v>279</v>
      </c>
    </row>
    <row r="277" spans="11:11" x14ac:dyDescent="0.25">
      <c r="K277" t="s">
        <v>280</v>
      </c>
    </row>
    <row r="278" spans="11:11" x14ac:dyDescent="0.25">
      <c r="K278" t="s">
        <v>281</v>
      </c>
    </row>
    <row r="279" spans="11:11" x14ac:dyDescent="0.25">
      <c r="K279" t="s">
        <v>282</v>
      </c>
    </row>
    <row r="283" spans="11:11" x14ac:dyDescent="0.25">
      <c r="K283" s="3" t="s">
        <v>284</v>
      </c>
    </row>
    <row r="284" spans="11:11" x14ac:dyDescent="0.25">
      <c r="K284" t="s">
        <v>285</v>
      </c>
    </row>
    <row r="285" spans="11:11" x14ac:dyDescent="0.25">
      <c r="K285" t="s">
        <v>286</v>
      </c>
    </row>
    <row r="286" spans="11:11" x14ac:dyDescent="0.25">
      <c r="K286" t="s">
        <v>287</v>
      </c>
    </row>
    <row r="287" spans="11:11" x14ac:dyDescent="0.25">
      <c r="K287" t="s">
        <v>288</v>
      </c>
    </row>
    <row r="288" spans="11:11" x14ac:dyDescent="0.25">
      <c r="K288" t="s">
        <v>289</v>
      </c>
    </row>
    <row r="289" spans="11:11" x14ac:dyDescent="0.25">
      <c r="K289" t="s">
        <v>290</v>
      </c>
    </row>
    <row r="290" spans="11:11" x14ac:dyDescent="0.25">
      <c r="K290" t="s">
        <v>291</v>
      </c>
    </row>
    <row r="291" spans="11:11" x14ac:dyDescent="0.25">
      <c r="K291" t="s">
        <v>292</v>
      </c>
    </row>
    <row r="292" spans="11:11" x14ac:dyDescent="0.25">
      <c r="K292" t="s">
        <v>294</v>
      </c>
    </row>
    <row r="293" spans="11:11" x14ac:dyDescent="0.25">
      <c r="K293" t="s">
        <v>293</v>
      </c>
    </row>
    <row r="294" spans="11:11" x14ac:dyDescent="0.25">
      <c r="K294" t="s">
        <v>295</v>
      </c>
    </row>
    <row r="295" spans="11:11" x14ac:dyDescent="0.25">
      <c r="K295" t="s">
        <v>316</v>
      </c>
    </row>
    <row r="296" spans="11:11" x14ac:dyDescent="0.25">
      <c r="K296" t="s">
        <v>296</v>
      </c>
    </row>
    <row r="297" spans="11:11" x14ac:dyDescent="0.25">
      <c r="K297" t="s">
        <v>297</v>
      </c>
    </row>
    <row r="298" spans="11:11" x14ac:dyDescent="0.25">
      <c r="K298" t="s">
        <v>298</v>
      </c>
    </row>
    <row r="302" spans="11:11" x14ac:dyDescent="0.25">
      <c r="K302" s="3" t="s">
        <v>299</v>
      </c>
    </row>
    <row r="303" spans="11:11" x14ac:dyDescent="0.25">
      <c r="K303" t="s">
        <v>300</v>
      </c>
    </row>
    <row r="304" spans="11:11" x14ac:dyDescent="0.25">
      <c r="K304" t="s">
        <v>301</v>
      </c>
    </row>
    <row r="305" spans="11:11" x14ac:dyDescent="0.25">
      <c r="K305" t="s">
        <v>311</v>
      </c>
    </row>
    <row r="306" spans="11:11" x14ac:dyDescent="0.25">
      <c r="K306" t="s">
        <v>312</v>
      </c>
    </row>
    <row r="307" spans="11:11" x14ac:dyDescent="0.25">
      <c r="K307" t="s">
        <v>313</v>
      </c>
    </row>
    <row r="308" spans="11:11" x14ac:dyDescent="0.25">
      <c r="K308" t="s">
        <v>314</v>
      </c>
    </row>
    <row r="309" spans="11:11" x14ac:dyDescent="0.25">
      <c r="K309" t="s">
        <v>315</v>
      </c>
    </row>
    <row r="310" spans="11:11" x14ac:dyDescent="0.25">
      <c r="K310" t="s">
        <v>302</v>
      </c>
    </row>
    <row r="311" spans="11:11" x14ac:dyDescent="0.25">
      <c r="K311" t="s">
        <v>303</v>
      </c>
    </row>
    <row r="312" spans="11:11" x14ac:dyDescent="0.25">
      <c r="K312" t="s">
        <v>304</v>
      </c>
    </row>
    <row r="313" spans="11:11" x14ac:dyDescent="0.25">
      <c r="K313" t="s">
        <v>305</v>
      </c>
    </row>
    <row r="314" spans="11:11" x14ac:dyDescent="0.25">
      <c r="K314" t="s">
        <v>306</v>
      </c>
    </row>
    <row r="315" spans="11:11" x14ac:dyDescent="0.25">
      <c r="K315" t="s">
        <v>307</v>
      </c>
    </row>
    <row r="316" spans="11:11" x14ac:dyDescent="0.25">
      <c r="K316" t="s">
        <v>308</v>
      </c>
    </row>
    <row r="317" spans="11:11" x14ac:dyDescent="0.25">
      <c r="K317" t="s">
        <v>309</v>
      </c>
    </row>
    <row r="318" spans="11:11" x14ac:dyDescent="0.25">
      <c r="K318" t="s">
        <v>310</v>
      </c>
    </row>
    <row r="322" spans="11:11" x14ac:dyDescent="0.25">
      <c r="K322" s="3" t="s">
        <v>317</v>
      </c>
    </row>
    <row r="323" spans="11:11" x14ac:dyDescent="0.25">
      <c r="K323" t="s">
        <v>318</v>
      </c>
    </row>
    <row r="324" spans="11:11" x14ac:dyDescent="0.25">
      <c r="K324" t="s">
        <v>351</v>
      </c>
    </row>
    <row r="325" spans="11:11" x14ac:dyDescent="0.25">
      <c r="K325" t="s">
        <v>319</v>
      </c>
    </row>
    <row r="326" spans="11:11" x14ac:dyDescent="0.25">
      <c r="K326" t="s">
        <v>320</v>
      </c>
    </row>
    <row r="327" spans="11:11" x14ac:dyDescent="0.25">
      <c r="K327" t="s">
        <v>321</v>
      </c>
    </row>
    <row r="328" spans="11:11" x14ac:dyDescent="0.25">
      <c r="K328" t="s">
        <v>322</v>
      </c>
    </row>
    <row r="329" spans="11:11" x14ac:dyDescent="0.25">
      <c r="K329" t="s">
        <v>323</v>
      </c>
    </row>
    <row r="330" spans="11:11" x14ac:dyDescent="0.25">
      <c r="K330" t="s">
        <v>350</v>
      </c>
    </row>
    <row r="331" spans="11:11" x14ac:dyDescent="0.25">
      <c r="K331" t="s">
        <v>324</v>
      </c>
    </row>
    <row r="332" spans="11:11" x14ac:dyDescent="0.25">
      <c r="K332" t="s">
        <v>325</v>
      </c>
    </row>
    <row r="333" spans="11:11" x14ac:dyDescent="0.25">
      <c r="K333" t="s">
        <v>326</v>
      </c>
    </row>
    <row r="334" spans="11:11" x14ac:dyDescent="0.25">
      <c r="K334" t="s">
        <v>327</v>
      </c>
    </row>
    <row r="335" spans="11:11" x14ac:dyDescent="0.25">
      <c r="K335" t="s">
        <v>328</v>
      </c>
    </row>
    <row r="336" spans="11:11" x14ac:dyDescent="0.25">
      <c r="K336" t="s">
        <v>329</v>
      </c>
    </row>
    <row r="337" spans="8:11" x14ac:dyDescent="0.25">
      <c r="K337" t="s">
        <v>330</v>
      </c>
    </row>
    <row r="338" spans="8:11" x14ac:dyDescent="0.25">
      <c r="K338" t="s">
        <v>331</v>
      </c>
    </row>
    <row r="342" spans="8:11" x14ac:dyDescent="0.25">
      <c r="K342" s="3" t="s">
        <v>332</v>
      </c>
    </row>
    <row r="343" spans="8:11" x14ac:dyDescent="0.25">
      <c r="K343" t="s">
        <v>333</v>
      </c>
    </row>
    <row r="344" spans="8:11" x14ac:dyDescent="0.25">
      <c r="K344" t="s">
        <v>334</v>
      </c>
    </row>
    <row r="345" spans="8:11" x14ac:dyDescent="0.25">
      <c r="K345" t="s">
        <v>335</v>
      </c>
    </row>
    <row r="346" spans="8:11" x14ac:dyDescent="0.25">
      <c r="K346" t="s">
        <v>336</v>
      </c>
    </row>
    <row r="347" spans="8:11" x14ac:dyDescent="0.25">
      <c r="H347" s="85"/>
      <c r="I347" s="85"/>
      <c r="K347" t="s">
        <v>337</v>
      </c>
    </row>
    <row r="348" spans="8:11" x14ac:dyDescent="0.25">
      <c r="K348" t="s">
        <v>338</v>
      </c>
    </row>
    <row r="349" spans="8:11" x14ac:dyDescent="0.25">
      <c r="K349" t="s">
        <v>339</v>
      </c>
    </row>
    <row r="350" spans="8:11" x14ac:dyDescent="0.25">
      <c r="K350" t="s">
        <v>340</v>
      </c>
    </row>
    <row r="351" spans="8:11" x14ac:dyDescent="0.25">
      <c r="K351" t="s">
        <v>341</v>
      </c>
    </row>
    <row r="352" spans="8:11" x14ac:dyDescent="0.25">
      <c r="K352" t="s">
        <v>342</v>
      </c>
    </row>
    <row r="353" spans="11:11" x14ac:dyDescent="0.25">
      <c r="K353" t="s">
        <v>343</v>
      </c>
    </row>
    <row r="354" spans="11:11" x14ac:dyDescent="0.25">
      <c r="K354" t="s">
        <v>344</v>
      </c>
    </row>
    <row r="355" spans="11:11" x14ac:dyDescent="0.25">
      <c r="K355" t="s">
        <v>345</v>
      </c>
    </row>
    <row r="356" spans="11:11" x14ac:dyDescent="0.25">
      <c r="K356" t="s">
        <v>346</v>
      </c>
    </row>
    <row r="357" spans="11:11" x14ac:dyDescent="0.25">
      <c r="K357" t="s">
        <v>347</v>
      </c>
    </row>
    <row r="358" spans="11:11" x14ac:dyDescent="0.25">
      <c r="K358" t="s">
        <v>348</v>
      </c>
    </row>
    <row r="359" spans="11:11" x14ac:dyDescent="0.25">
      <c r="K359" t="s">
        <v>349</v>
      </c>
    </row>
    <row r="363" spans="11:11" x14ac:dyDescent="0.25">
      <c r="K363" s="3" t="s">
        <v>352</v>
      </c>
    </row>
    <row r="364" spans="11:11" x14ac:dyDescent="0.25">
      <c r="K364" t="s">
        <v>353</v>
      </c>
    </row>
    <row r="365" spans="11:11" x14ac:dyDescent="0.25">
      <c r="K365" t="s">
        <v>354</v>
      </c>
    </row>
    <row r="366" spans="11:11" x14ac:dyDescent="0.25">
      <c r="K366" t="s">
        <v>355</v>
      </c>
    </row>
    <row r="367" spans="11:11" x14ac:dyDescent="0.25">
      <c r="K367" t="s">
        <v>356</v>
      </c>
    </row>
    <row r="368" spans="11:11" x14ac:dyDescent="0.25">
      <c r="K368" t="s">
        <v>357</v>
      </c>
    </row>
    <row r="369" spans="11:11" x14ac:dyDescent="0.25">
      <c r="K369" t="s">
        <v>358</v>
      </c>
    </row>
    <row r="370" spans="11:11" x14ac:dyDescent="0.25">
      <c r="K370" t="s">
        <v>359</v>
      </c>
    </row>
    <row r="371" spans="11:11" x14ac:dyDescent="0.25">
      <c r="K371" t="s">
        <v>360</v>
      </c>
    </row>
    <row r="372" spans="11:11" x14ac:dyDescent="0.25">
      <c r="K372" t="s">
        <v>361</v>
      </c>
    </row>
    <row r="373" spans="11:11" x14ac:dyDescent="0.25">
      <c r="K373" t="s">
        <v>362</v>
      </c>
    </row>
    <row r="374" spans="11:11" x14ac:dyDescent="0.25">
      <c r="K374" t="s">
        <v>363</v>
      </c>
    </row>
    <row r="375" spans="11:11" x14ac:dyDescent="0.25">
      <c r="K375" t="s">
        <v>364</v>
      </c>
    </row>
    <row r="376" spans="11:11" x14ac:dyDescent="0.25">
      <c r="K376" t="s">
        <v>365</v>
      </c>
    </row>
    <row r="377" spans="11:11" x14ac:dyDescent="0.25">
      <c r="K377" t="s">
        <v>366</v>
      </c>
    </row>
    <row r="378" spans="11:11" x14ac:dyDescent="0.25">
      <c r="K378" t="s">
        <v>367</v>
      </c>
    </row>
    <row r="379" spans="11:11" x14ac:dyDescent="0.25">
      <c r="K379" t="s">
        <v>368</v>
      </c>
    </row>
    <row r="383" spans="11:11" ht="15.75" x14ac:dyDescent="0.25">
      <c r="K383" s="70" t="s">
        <v>369</v>
      </c>
    </row>
    <row r="384" spans="11:11" x14ac:dyDescent="0.25">
      <c r="K384" t="s">
        <v>370</v>
      </c>
    </row>
    <row r="385" spans="11:11" x14ac:dyDescent="0.25">
      <c r="K385" t="s">
        <v>371</v>
      </c>
    </row>
    <row r="386" spans="11:11" x14ac:dyDescent="0.25">
      <c r="K386" t="s">
        <v>372</v>
      </c>
    </row>
    <row r="387" spans="11:11" x14ac:dyDescent="0.25">
      <c r="K387" t="s">
        <v>373</v>
      </c>
    </row>
    <row r="388" spans="11:11" x14ac:dyDescent="0.25">
      <c r="K388" t="s">
        <v>374</v>
      </c>
    </row>
    <row r="389" spans="11:11" x14ac:dyDescent="0.25">
      <c r="K389" t="s">
        <v>375</v>
      </c>
    </row>
    <row r="390" spans="11:11" x14ac:dyDescent="0.25">
      <c r="K390" t="s">
        <v>376</v>
      </c>
    </row>
    <row r="391" spans="11:11" x14ac:dyDescent="0.25">
      <c r="K391" t="s">
        <v>377</v>
      </c>
    </row>
    <row r="392" spans="11:11" x14ac:dyDescent="0.25">
      <c r="K392" t="s">
        <v>378</v>
      </c>
    </row>
    <row r="393" spans="11:11" x14ac:dyDescent="0.25">
      <c r="K393" t="s">
        <v>379</v>
      </c>
    </row>
    <row r="394" spans="11:11" x14ac:dyDescent="0.25">
      <c r="K394" t="s">
        <v>380</v>
      </c>
    </row>
    <row r="395" spans="11:11" x14ac:dyDescent="0.25">
      <c r="K395" t="s">
        <v>381</v>
      </c>
    </row>
    <row r="396" spans="11:11" x14ac:dyDescent="0.25">
      <c r="K396" t="s">
        <v>382</v>
      </c>
    </row>
    <row r="397" spans="11:11" x14ac:dyDescent="0.25">
      <c r="K397" t="s">
        <v>383</v>
      </c>
    </row>
    <row r="398" spans="11:11" x14ac:dyDescent="0.25">
      <c r="K398" t="s">
        <v>384</v>
      </c>
    </row>
    <row r="399" spans="11:11" x14ac:dyDescent="0.25">
      <c r="K399" t="s">
        <v>385</v>
      </c>
    </row>
    <row r="400" spans="11:11" x14ac:dyDescent="0.25">
      <c r="K400" t="s">
        <v>386</v>
      </c>
    </row>
    <row r="401" spans="11:11" x14ac:dyDescent="0.25">
      <c r="K401" t="s">
        <v>387</v>
      </c>
    </row>
    <row r="402" spans="11:11" x14ac:dyDescent="0.25">
      <c r="K402" t="s">
        <v>388</v>
      </c>
    </row>
    <row r="406" spans="11:11" x14ac:dyDescent="0.25">
      <c r="K406" s="3" t="s">
        <v>393</v>
      </c>
    </row>
    <row r="407" spans="11:11" x14ac:dyDescent="0.25">
      <c r="K407" t="s">
        <v>389</v>
      </c>
    </row>
    <row r="409" spans="11:11" x14ac:dyDescent="0.25">
      <c r="K409" t="s">
        <v>401</v>
      </c>
    </row>
    <row r="410" spans="11:11" x14ac:dyDescent="0.25">
      <c r="K410" t="s">
        <v>390</v>
      </c>
    </row>
    <row r="412" spans="11:11" x14ac:dyDescent="0.25">
      <c r="K412" t="s">
        <v>419</v>
      </c>
    </row>
    <row r="413" spans="11:11" x14ac:dyDescent="0.25">
      <c r="K413" t="s">
        <v>420</v>
      </c>
    </row>
    <row r="414" spans="11:11" x14ac:dyDescent="0.25">
      <c r="K414" t="s">
        <v>421</v>
      </c>
    </row>
    <row r="415" spans="11:11" x14ac:dyDescent="0.25">
      <c r="K415" t="s">
        <v>399</v>
      </c>
    </row>
    <row r="416" spans="11:11" x14ac:dyDescent="0.25">
      <c r="K416" t="s">
        <v>402</v>
      </c>
    </row>
    <row r="417" spans="11:11" x14ac:dyDescent="0.25">
      <c r="K417" t="s">
        <v>403</v>
      </c>
    </row>
    <row r="418" spans="11:11" x14ac:dyDescent="0.25">
      <c r="K418" t="s">
        <v>404</v>
      </c>
    </row>
    <row r="420" spans="11:11" x14ac:dyDescent="0.25">
      <c r="K420" s="3" t="s">
        <v>394</v>
      </c>
    </row>
    <row r="421" spans="11:11" x14ac:dyDescent="0.25">
      <c r="K421" t="s">
        <v>391</v>
      </c>
    </row>
    <row r="423" spans="11:11" x14ac:dyDescent="0.25">
      <c r="K423" t="s">
        <v>397</v>
      </c>
    </row>
    <row r="424" spans="11:11" x14ac:dyDescent="0.25">
      <c r="K424" t="s">
        <v>392</v>
      </c>
    </row>
    <row r="426" spans="11:11" x14ac:dyDescent="0.25">
      <c r="K426" t="s">
        <v>416</v>
      </c>
    </row>
    <row r="427" spans="11:11" x14ac:dyDescent="0.25">
      <c r="K427" t="s">
        <v>417</v>
      </c>
    </row>
    <row r="428" spans="11:11" x14ac:dyDescent="0.25">
      <c r="K428" t="s">
        <v>418</v>
      </c>
    </row>
    <row r="429" spans="11:11" x14ac:dyDescent="0.25">
      <c r="K429" t="s">
        <v>405</v>
      </c>
    </row>
    <row r="430" spans="11:11" x14ac:dyDescent="0.25">
      <c r="K430" t="s">
        <v>406</v>
      </c>
    </row>
    <row r="431" spans="11:11" x14ac:dyDescent="0.25">
      <c r="K431" t="s">
        <v>407</v>
      </c>
    </row>
    <row r="432" spans="11:11" x14ac:dyDescent="0.25">
      <c r="K432" t="s">
        <v>408</v>
      </c>
    </row>
    <row r="435" spans="11:11" x14ac:dyDescent="0.25">
      <c r="K435" s="3" t="s">
        <v>395</v>
      </c>
    </row>
    <row r="436" spans="11:11" x14ac:dyDescent="0.25">
      <c r="K436" t="s">
        <v>398</v>
      </c>
    </row>
    <row r="438" spans="11:11" x14ac:dyDescent="0.25">
      <c r="K438" t="s">
        <v>400</v>
      </c>
    </row>
    <row r="439" spans="11:11" x14ac:dyDescent="0.25">
      <c r="K439" t="s">
        <v>396</v>
      </c>
    </row>
    <row r="441" spans="11:11" x14ac:dyDescent="0.25">
      <c r="K441" t="s">
        <v>413</v>
      </c>
    </row>
    <row r="442" spans="11:11" x14ac:dyDescent="0.25">
      <c r="K442" t="s">
        <v>414</v>
      </c>
    </row>
    <row r="443" spans="11:11" x14ac:dyDescent="0.25">
      <c r="K443" t="s">
        <v>415</v>
      </c>
    </row>
    <row r="444" spans="11:11" x14ac:dyDescent="0.25">
      <c r="K444" t="s">
        <v>409</v>
      </c>
    </row>
    <row r="445" spans="11:11" x14ac:dyDescent="0.25">
      <c r="K445" t="s">
        <v>410</v>
      </c>
    </row>
    <row r="446" spans="11:11" x14ac:dyDescent="0.25">
      <c r="K446" t="s">
        <v>411</v>
      </c>
    </row>
    <row r="447" spans="11:11" x14ac:dyDescent="0.25">
      <c r="K447" t="s">
        <v>412</v>
      </c>
    </row>
    <row r="451" spans="11:11" x14ac:dyDescent="0.25">
      <c r="K451" s="3" t="s">
        <v>423</v>
      </c>
    </row>
    <row r="452" spans="11:11" x14ac:dyDescent="0.25">
      <c r="K452" t="s">
        <v>424</v>
      </c>
    </row>
    <row r="453" spans="11:11" x14ac:dyDescent="0.25">
      <c r="K453" t="s">
        <v>425</v>
      </c>
    </row>
    <row r="454" spans="11:11" x14ac:dyDescent="0.25">
      <c r="K454" t="s">
        <v>426</v>
      </c>
    </row>
    <row r="455" spans="11:11" x14ac:dyDescent="0.25">
      <c r="K455" t="s">
        <v>427</v>
      </c>
    </row>
    <row r="459" spans="11:11" x14ac:dyDescent="0.25">
      <c r="K459" s="3" t="s">
        <v>428</v>
      </c>
    </row>
    <row r="460" spans="11:11" x14ac:dyDescent="0.25">
      <c r="K460" t="s">
        <v>429</v>
      </c>
    </row>
    <row r="461" spans="11:11" x14ac:dyDescent="0.25">
      <c r="K461" t="s">
        <v>430</v>
      </c>
    </row>
    <row r="462" spans="11:11" x14ac:dyDescent="0.25">
      <c r="K462" t="s">
        <v>432</v>
      </c>
    </row>
    <row r="463" spans="11:11" x14ac:dyDescent="0.25">
      <c r="K463" t="s">
        <v>431</v>
      </c>
    </row>
    <row r="467" spans="11:11" x14ac:dyDescent="0.25">
      <c r="K467" s="3" t="s">
        <v>434</v>
      </c>
    </row>
    <row r="468" spans="11:11" x14ac:dyDescent="0.25">
      <c r="K468" t="s">
        <v>435</v>
      </c>
    </row>
    <row r="469" spans="11:11" x14ac:dyDescent="0.25">
      <c r="K469" t="s">
        <v>433</v>
      </c>
    </row>
    <row r="470" spans="11:11" x14ac:dyDescent="0.25">
      <c r="K470" t="s">
        <v>438</v>
      </c>
    </row>
    <row r="471" spans="11:11" x14ac:dyDescent="0.25">
      <c r="K471" t="s">
        <v>436</v>
      </c>
    </row>
  </sheetData>
  <mergeCells count="26">
    <mergeCell ref="H347:I347"/>
    <mergeCell ref="AN24:AO25"/>
    <mergeCell ref="B8:H9"/>
    <mergeCell ref="A11:I12"/>
    <mergeCell ref="A14:I15"/>
    <mergeCell ref="A17:I18"/>
    <mergeCell ref="U21:U22"/>
    <mergeCell ref="AI23:AJ23"/>
    <mergeCell ref="AI24:AJ25"/>
    <mergeCell ref="AI27:AN32"/>
    <mergeCell ref="AL22:AL23"/>
    <mergeCell ref="U24:U25"/>
    <mergeCell ref="U18:U19"/>
    <mergeCell ref="T18:T19"/>
    <mergeCell ref="T11:T12"/>
    <mergeCell ref="U11:U12"/>
    <mergeCell ref="AL24:AL25"/>
    <mergeCell ref="AN22:AO23"/>
    <mergeCell ref="A1:J3"/>
    <mergeCell ref="K1:P3"/>
    <mergeCell ref="Q1:R3"/>
    <mergeCell ref="A4:J5"/>
    <mergeCell ref="K4:P5"/>
    <mergeCell ref="Q4:R4"/>
    <mergeCell ref="Q5:R5"/>
    <mergeCell ref="U3:W3"/>
  </mergeCells>
  <phoneticPr fontId="6" type="noConversion"/>
  <dataValidations count="15">
    <dataValidation type="whole" allowBlank="1" showInputMessage="1" showErrorMessage="1" errorTitle="Achtung, Sabotage-Akt!" error="Die Daten im grünen Bereich sind besonders geschützt, weil hier wichtige und komplizierte Formeln hinterlegt sind, die nicht überschrieben werden dürfen!_x000a__x000a_Tut mir leid, aber du darfst hier nichts ändern!!!" promptTitle="Wichtige Info" prompt="Finger weg von den Daten!" sqref="U16 U18:U19 U27" xr:uid="{3EE1130B-7182-4988-A46B-D155CB7F3DCC}">
      <formula1>1.0000000500505E+39</formula1>
      <formula2>1.0000000500505E+39</formula2>
    </dataValidation>
    <dataValidation type="whole" allowBlank="1" showInputMessage="1" showErrorMessage="1" errorTitle="Achtung, Sabotage-Akt!" error="Die Daten im grünen Bereich sind besonders geschützt, weil hier komplizierte Formeln hinterlegt sind, welche nicht aus versehen oder aus absicht heraus überschrieben werden sollen!" promptTitle="Wichtige Info!" prompt="Finger weg von den Daten!" sqref="U14 U11:U12" xr:uid="{054F8914-9B4E-4A6D-AA66-6464CB4B1A4A}">
      <formula1>1.000001000101E+39</formula1>
      <formula2>1.000001000101E+39</formula2>
    </dataValidation>
    <dataValidation type="whole" errorStyle="warning" allowBlank="1" showInputMessage="1" showErrorMessage="1" errorTitle="Achtung, Sabotage-Akt!" error="Die Daten im grünen Bereich sind besonders geschützt, weil hier komplizierte Formeln hinterlegt sind, welche nicht aus versehen oder aus absicht heraus überschrieben werden sollen!" promptTitle="Wichtige Info!" prompt="Finger weg von den Daten!" sqref="U9" xr:uid="{92B931E1-48BA-4074-914A-E99BD7232CD1}">
      <formula1>1.000001000101E+39</formula1>
      <formula2>1.000001000101E+39</formula2>
    </dataValidation>
    <dataValidation type="whole" allowBlank="1" showInputMessage="1" showErrorMessage="1" errorTitle="Achtung, Sabotage-Akt!" error="Die Daten im grünen Bereich enthalten wichtige Formeln und sind extrem gut geschützt." promptTitle="Wichtige Info!" prompt="Finger weg von den Programminternen Daten!" sqref="U35 U31 U33" xr:uid="{03639CC2-9CAF-47D6-BB5F-9F6D08869FD3}">
      <formula1>1.0000005040654E+39</formula1>
      <formula2>1.0000005040654E+39</formula2>
    </dataValidation>
    <dataValidation type="whole" allowBlank="1" showInputMessage="1" showErrorMessage="1" errorTitle="Achtung, Sabotageakt!" error="Du darfst hier nichts abändern!" promptTitle="Wichtige Info!" prompt="Finger weg von den Daten im grünen Bereich!" sqref="Y60 Y63:Y65" xr:uid="{C2CAFEF8-CA6D-4A91-AB1C-A015DA0E2113}">
      <formula1>1.0000000100101E+39</formula1>
      <formula2>1.0000000100101E+39</formula2>
    </dataValidation>
    <dataValidation type="whole" allowBlank="1" showInputMessage="1" showErrorMessage="1" errorTitle="Achtung, Sabotage-Akt" error="Die Daten im grünen Bereich sind bestens gegen deine Manipulationsversuche geschützt!" sqref="W15:W26" xr:uid="{22B019F9-31BA-4FF7-A9CD-EE6E6169751E}">
      <formula1>1.0000050001021E+38</formula1>
      <formula2>1.0000050001021E+38</formula2>
    </dataValidation>
    <dataValidation type="list" allowBlank="1" showInputMessage="1" showErrorMessage="1" sqref="AG21" xr:uid="{FA449EB0-E6EB-4FF1-BBDC-A6C433469216}">
      <formula1>$W$15:$W$26</formula1>
    </dataValidation>
    <dataValidation type="whole" allowBlank="1" showInputMessage="1" showErrorMessage="1" sqref="AG19" xr:uid="{86859DDE-0F81-4CBD-8A34-62A9457E4C59}">
      <formula1>1</formula1>
      <formula2>31</formula2>
    </dataValidation>
    <dataValidation type="whole" allowBlank="1" showInputMessage="1" showErrorMessage="1" sqref="AG23" xr:uid="{798C2CC6-A8A3-490A-AA15-09AADD3A5BB3}">
      <formula1>1900</formula1>
      <formula2>9999</formula2>
    </dataValidation>
    <dataValidation type="list" allowBlank="1" showInputMessage="1" showErrorMessage="1" sqref="AI23:AJ23" xr:uid="{2E915160-158E-4123-9E87-F8E69F261208}">
      <formula1>$W$28:$W$29</formula1>
    </dataValidation>
    <dataValidation type="date" allowBlank="1" showInputMessage="1" showErrorMessage="1" sqref="AI24:AJ25" xr:uid="{47E065A9-19F2-4EFC-A57E-0DF0F6EBBA42}">
      <formula1>1</formula1>
      <formula2>2958465</formula2>
    </dataValidation>
    <dataValidation allowBlank="1" showInputMessage="1" showErrorMessage="1" errorTitle="Achtung, Sabotage-Akt!" error="Die Daten im grünen Bereich sind besonders geschützt, weil hier wichtige und komplizierte Formeln hinterlegt sind, die nicht überschrieben werden dürfen!_x000a__x000a_Tut mir leid, aber du darfst hier nichts ändern!!!" promptTitle="Wichtige Info" prompt="Finger weg von den Daten!" sqref="U21:U22 U24:U25" xr:uid="{37A6CDF7-894E-44CC-972C-0DCB8672892B}"/>
    <dataValidation allowBlank="1" showInputMessage="1" showErrorMessage="1" errorTitle="Achtung, Sabotage-Akt!" error="Die Daten im grünen Bereich sind besonders geschützt, weil hier komplizierte Formeln hinterlegt sind, welche nicht aus Versehen oder aus Absicht heraus überschrieben werden sollen!" promptTitle="Wichtige Info!" prompt="Finger weg von den Daten!" sqref="W9:W12 Y3" xr:uid="{E97077A9-C2A2-4B17-93CF-29E7D434741F}"/>
    <dataValidation allowBlank="1" showInputMessage="1" showErrorMessage="1" errorTitle="Achtung, Sabotage-Akt!" error="Die Daten im grünen Bereich enthalten wichtige Formeln und sind extrem gut geschützt." promptTitle="Wichtige Info!" prompt="Finger weg von den Programminternen Daten!" sqref="U29" xr:uid="{F1AAE1BA-4BCE-4CD4-90A9-B86010166544}"/>
    <dataValidation type="whole" allowBlank="1" showInputMessage="1" showErrorMessage="1" errorTitle="Achtung, Sabotage-Akt!" error="Du darfst hier nichts eingeben!" sqref="AA11:AA17" xr:uid="{D60388A1-FD5D-4058-A0CA-9D89F0E3D939}">
      <formula1>1.0100000010005E+39</formula1>
      <formula2>1.0100000010005E+39</formula2>
    </dataValidation>
  </dataValidations>
  <pageMargins left="0.7" right="0.7" top="0.78740157499999996" bottom="0.78740157499999996"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1542D-A8B5-4889-AF46-1DF9EAD03930}">
  <dimension ref="A1:R43"/>
  <sheetViews>
    <sheetView topLeftCell="A8" zoomScaleNormal="100" workbookViewId="0">
      <selection activeCell="K21" sqref="K21"/>
    </sheetView>
  </sheetViews>
  <sheetFormatPr baseColWidth="10" defaultRowHeight="15" x14ac:dyDescent="0.25"/>
  <cols>
    <col min="1" max="10" width="2.85546875" customWidth="1"/>
    <col min="11" max="11" width="11.42578125" customWidth="1"/>
    <col min="13" max="13" width="12.7109375" customWidth="1"/>
    <col min="14" max="14" width="11.85546875" customWidth="1"/>
    <col min="15" max="15" width="12.42578125" customWidth="1"/>
    <col min="16" max="16" width="10.28515625" customWidth="1"/>
    <col min="19" max="19" width="1.42578125" customWidth="1"/>
  </cols>
  <sheetData>
    <row r="1" spans="1:18" ht="15" customHeight="1" x14ac:dyDescent="0.25">
      <c r="A1" s="85"/>
      <c r="B1" s="85"/>
      <c r="C1" s="85"/>
      <c r="D1" s="85"/>
      <c r="E1" s="85"/>
      <c r="F1" s="85"/>
      <c r="G1" s="85"/>
      <c r="H1" s="85"/>
      <c r="I1" s="85"/>
      <c r="J1" s="85"/>
      <c r="K1" s="116" t="str">
        <f>IF(Start!K7="English","Hello!",IF(Start!K7="Español","¡Hola!","Hallo!"))</f>
        <v>Hallo!</v>
      </c>
      <c r="L1" s="116"/>
      <c r="M1" s="116"/>
      <c r="N1" s="116"/>
      <c r="O1" s="116"/>
      <c r="P1" s="116"/>
      <c r="Q1" s="116"/>
    </row>
    <row r="2" spans="1:18" ht="15" customHeight="1" x14ac:dyDescent="0.25">
      <c r="A2" s="85"/>
      <c r="B2" s="85"/>
      <c r="C2" s="85"/>
      <c r="D2" s="85"/>
      <c r="E2" s="85"/>
      <c r="F2" s="85"/>
      <c r="G2" s="85"/>
      <c r="H2" s="85"/>
      <c r="I2" s="85"/>
      <c r="J2" s="85"/>
      <c r="K2" s="116"/>
      <c r="L2" s="116"/>
      <c r="M2" s="116"/>
      <c r="N2" s="116"/>
      <c r="O2" s="116"/>
      <c r="P2" s="116"/>
      <c r="Q2" s="116"/>
    </row>
    <row r="3" spans="1:18" x14ac:dyDescent="0.25">
      <c r="A3" s="85"/>
      <c r="B3" s="85"/>
      <c r="C3" s="85"/>
      <c r="D3" s="85"/>
      <c r="E3" s="85"/>
      <c r="F3" s="85"/>
      <c r="G3" s="85"/>
      <c r="H3" s="85"/>
      <c r="I3" s="85"/>
      <c r="J3" s="85"/>
      <c r="K3" s="116"/>
      <c r="L3" s="116"/>
      <c r="M3" s="116"/>
      <c r="N3" s="116"/>
      <c r="O3" s="116"/>
      <c r="P3" s="116"/>
      <c r="Q3" s="74"/>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8" spans="1:18" x14ac:dyDescent="0.25">
      <c r="B8" s="79" t="str">
        <f>IF(Start!K7="English","Start",IF(Start!K7="Español","Inicio","Start"))</f>
        <v>Start</v>
      </c>
      <c r="C8" s="79"/>
      <c r="D8" s="79"/>
      <c r="E8" s="79"/>
      <c r="F8" s="79"/>
      <c r="G8" s="79"/>
      <c r="H8" s="79"/>
      <c r="K8" s="2"/>
      <c r="L8" s="1"/>
    </row>
    <row r="9" spans="1:18" x14ac:dyDescent="0.25">
      <c r="B9" s="79"/>
      <c r="C9" s="79"/>
      <c r="D9" s="79"/>
      <c r="E9" s="79"/>
      <c r="F9" s="79"/>
      <c r="G9" s="79"/>
      <c r="H9" s="79"/>
    </row>
    <row r="11" spans="1:18" x14ac:dyDescent="0.25">
      <c r="A11" s="79" t="str">
        <f>IF(Start!K7="English","Personal data",IF(Start!K7="Español","Datos personales","Persönliche Daten"))</f>
        <v>Persönliche Daten</v>
      </c>
      <c r="B11" s="79"/>
      <c r="C11" s="79"/>
      <c r="D11" s="79"/>
      <c r="E11" s="79"/>
      <c r="F11" s="79"/>
      <c r="G11" s="79"/>
      <c r="H11" s="79"/>
      <c r="I11" s="79"/>
    </row>
    <row r="12" spans="1:18" x14ac:dyDescent="0.25">
      <c r="A12" s="79"/>
      <c r="B12" s="79"/>
      <c r="C12" s="79"/>
      <c r="D12" s="79"/>
      <c r="E12" s="79"/>
      <c r="F12" s="79"/>
      <c r="G12" s="79"/>
      <c r="H12" s="79"/>
      <c r="I12" s="79"/>
    </row>
    <row r="13" spans="1:18" x14ac:dyDescent="0.25">
      <c r="M13" s="3"/>
      <c r="N13" s="3"/>
      <c r="O13" s="3"/>
    </row>
    <row r="14" spans="1:18" x14ac:dyDescent="0.25">
      <c r="A14" s="79" t="str">
        <f>IF(Start!K7="English","Weight table",IF(Start!K7="Español","Tabla de pesos","Gewichtstabelle"))</f>
        <v>Gewichtstabelle</v>
      </c>
      <c r="B14" s="79"/>
      <c r="C14" s="79"/>
      <c r="D14" s="79"/>
      <c r="E14" s="79"/>
      <c r="F14" s="79"/>
      <c r="G14" s="79"/>
      <c r="H14" s="79"/>
      <c r="I14" s="79"/>
    </row>
    <row r="15" spans="1:18" x14ac:dyDescent="0.25">
      <c r="A15" s="79"/>
      <c r="B15" s="79"/>
      <c r="C15" s="79"/>
      <c r="D15" s="79"/>
      <c r="E15" s="79"/>
      <c r="F15" s="79"/>
      <c r="G15" s="79"/>
      <c r="H15" s="79"/>
      <c r="I15" s="79"/>
      <c r="M15" s="26"/>
      <c r="N15" s="3"/>
    </row>
    <row r="17" spans="1:17" x14ac:dyDescent="0.25">
      <c r="A17" s="79" t="str">
        <f>IF(Start!K7="English","Weight target",IF(Start!K7="Español","Objetivo de peso","Gewichts-Ziel"))</f>
        <v>Gewichts-Ziel</v>
      </c>
      <c r="B17" s="79"/>
      <c r="C17" s="79"/>
      <c r="D17" s="79"/>
      <c r="E17" s="79"/>
      <c r="F17" s="79"/>
      <c r="G17" s="79"/>
      <c r="H17" s="79"/>
      <c r="I17" s="79"/>
      <c r="M17" s="27"/>
      <c r="N17" s="8"/>
    </row>
    <row r="18" spans="1:17" x14ac:dyDescent="0.25">
      <c r="A18" s="79"/>
      <c r="B18" s="79"/>
      <c r="C18" s="79"/>
      <c r="D18" s="79"/>
      <c r="E18" s="79"/>
      <c r="F18" s="79"/>
      <c r="G18" s="79"/>
      <c r="H18" s="79"/>
      <c r="I18" s="79"/>
    </row>
    <row r="19" spans="1:17" x14ac:dyDescent="0.25">
      <c r="M19" s="27"/>
      <c r="N19" s="8"/>
    </row>
    <row r="20" spans="1:17" x14ac:dyDescent="0.25">
      <c r="A20" s="79" t="str">
        <f>IF(Start!K7="English","Fitness",IF(Start!K7="Español","Fitness","Fitness"))</f>
        <v>Fitness</v>
      </c>
      <c r="B20" s="84"/>
      <c r="C20" s="84"/>
      <c r="D20" s="84"/>
      <c r="E20" s="84"/>
      <c r="F20" s="84"/>
      <c r="G20" s="84"/>
      <c r="H20" s="84"/>
      <c r="I20" s="84"/>
    </row>
    <row r="21" spans="1:17" x14ac:dyDescent="0.25">
      <c r="A21" s="84"/>
      <c r="B21" s="84"/>
      <c r="C21" s="84"/>
      <c r="D21" s="84"/>
      <c r="E21" s="84"/>
      <c r="F21" s="84"/>
      <c r="G21" s="84"/>
      <c r="H21" s="84"/>
      <c r="I21" s="84"/>
      <c r="M21" s="28"/>
    </row>
    <row r="22" spans="1:17" x14ac:dyDescent="0.25">
      <c r="N22" t="s">
        <v>0</v>
      </c>
    </row>
    <row r="23" spans="1:17" ht="15" customHeight="1" x14ac:dyDescent="0.25">
      <c r="A23" s="79" t="str">
        <f>IF(Start!K7="English","Overview",IF(Start!K7="Español","Visión general","Übersicht"))</f>
        <v>Übersicht</v>
      </c>
      <c r="B23" s="84"/>
      <c r="C23" s="84"/>
      <c r="D23" s="84"/>
      <c r="E23" s="84"/>
      <c r="F23" s="84"/>
      <c r="G23" s="84"/>
      <c r="H23" s="84"/>
      <c r="I23" s="84"/>
      <c r="J23" s="9"/>
      <c r="K23" s="9"/>
      <c r="L23" s="9"/>
      <c r="M23" s="9"/>
      <c r="N23" s="9"/>
      <c r="O23" s="9"/>
      <c r="P23" s="9"/>
      <c r="Q23" s="9"/>
    </row>
    <row r="24" spans="1:17" ht="15" customHeight="1" x14ac:dyDescent="0.25">
      <c r="A24" s="84"/>
      <c r="B24" s="84"/>
      <c r="C24" s="84"/>
      <c r="D24" s="84"/>
      <c r="E24" s="84"/>
      <c r="F24" s="84"/>
      <c r="G24" s="84"/>
      <c r="H24" s="84"/>
      <c r="I24" s="84"/>
      <c r="J24" s="29"/>
      <c r="K24" s="29"/>
      <c r="L24" s="29"/>
      <c r="M24" s="29"/>
      <c r="N24" s="29"/>
      <c r="O24" s="29"/>
      <c r="P24" s="29"/>
      <c r="Q24" s="29"/>
    </row>
    <row r="25" spans="1:17" x14ac:dyDescent="0.25">
      <c r="E25" s="29"/>
      <c r="F25" s="29"/>
      <c r="G25" s="29"/>
      <c r="H25" s="29"/>
      <c r="I25" s="29"/>
      <c r="J25" s="29"/>
      <c r="K25" s="29"/>
      <c r="L25" s="29"/>
      <c r="M25" s="29"/>
      <c r="N25" s="29"/>
      <c r="O25" s="29"/>
      <c r="P25" s="29"/>
      <c r="Q25" s="29"/>
    </row>
    <row r="26" spans="1:17" x14ac:dyDescent="0.25">
      <c r="J26" s="29"/>
      <c r="K26" s="29"/>
      <c r="L26" s="29"/>
      <c r="M26" s="29"/>
      <c r="N26" s="29"/>
      <c r="O26" s="29"/>
      <c r="P26" s="29"/>
      <c r="Q26" s="29"/>
    </row>
    <row r="27" spans="1:17" x14ac:dyDescent="0.25">
      <c r="J27" s="29"/>
      <c r="K27" s="29"/>
      <c r="L27" s="29"/>
      <c r="M27" s="29"/>
      <c r="N27" s="29"/>
      <c r="O27" s="29"/>
      <c r="P27" s="29"/>
      <c r="Q27" s="29"/>
    </row>
    <row r="28" spans="1:17" x14ac:dyDescent="0.25">
      <c r="E28" s="29"/>
      <c r="F28" s="29"/>
      <c r="G28" s="29"/>
      <c r="H28" s="29"/>
      <c r="I28" s="29"/>
      <c r="J28" s="29"/>
      <c r="K28" s="29"/>
      <c r="L28" s="29"/>
      <c r="M28" s="29"/>
      <c r="N28" s="29"/>
      <c r="O28" s="29"/>
      <c r="P28" s="29"/>
      <c r="Q28" s="29"/>
    </row>
    <row r="29" spans="1:17" x14ac:dyDescent="0.25">
      <c r="A29" s="85"/>
      <c r="B29" s="85"/>
      <c r="C29" s="85"/>
      <c r="D29" s="85"/>
      <c r="E29" s="85"/>
      <c r="F29" s="85"/>
      <c r="G29" s="85"/>
      <c r="H29" s="85"/>
      <c r="I29" s="85"/>
      <c r="J29" s="29"/>
      <c r="K29" s="29"/>
      <c r="L29" s="29"/>
      <c r="M29" s="29"/>
      <c r="N29" s="29"/>
      <c r="O29" s="29"/>
      <c r="P29" s="29"/>
      <c r="Q29" s="29"/>
    </row>
    <row r="30" spans="1:17" x14ac:dyDescent="0.25">
      <c r="A30" s="85"/>
      <c r="B30" s="85"/>
      <c r="C30" s="85"/>
      <c r="D30" s="85"/>
      <c r="E30" s="85"/>
      <c r="F30" s="85"/>
      <c r="G30" s="85"/>
      <c r="H30" s="85"/>
      <c r="I30" s="85"/>
      <c r="J30" s="29"/>
      <c r="K30" s="29"/>
      <c r="L30" s="29"/>
      <c r="M30" s="29"/>
      <c r="N30" s="29"/>
      <c r="O30" s="29"/>
      <c r="P30" s="29"/>
      <c r="Q30" s="29"/>
    </row>
    <row r="31" spans="1:17" x14ac:dyDescent="0.25">
      <c r="E31" s="29"/>
      <c r="F31" s="29"/>
      <c r="G31" s="29"/>
      <c r="H31" s="29"/>
      <c r="I31" s="29"/>
      <c r="J31" s="29"/>
      <c r="K31" s="29"/>
      <c r="L31" s="29"/>
      <c r="M31" s="29"/>
      <c r="N31" s="29"/>
      <c r="O31" s="29"/>
      <c r="P31" s="29"/>
      <c r="Q31" s="29"/>
    </row>
    <row r="32" spans="1:17" x14ac:dyDescent="0.25">
      <c r="A32" s="85"/>
      <c r="B32" s="85"/>
      <c r="C32" s="85"/>
      <c r="D32" s="85"/>
      <c r="E32" s="85"/>
      <c r="F32" s="85"/>
      <c r="G32" s="85"/>
      <c r="H32" s="85"/>
      <c r="I32" s="85"/>
      <c r="J32" s="29"/>
      <c r="K32" s="29"/>
      <c r="L32" s="29"/>
      <c r="M32" s="29"/>
      <c r="N32" s="29"/>
      <c r="O32" s="29"/>
      <c r="P32" s="29"/>
      <c r="Q32" s="29"/>
    </row>
    <row r="33" spans="1:17" x14ac:dyDescent="0.25">
      <c r="A33" s="85"/>
      <c r="B33" s="85"/>
      <c r="C33" s="85"/>
      <c r="D33" s="85"/>
      <c r="E33" s="85"/>
      <c r="F33" s="85"/>
      <c r="G33" s="85"/>
      <c r="H33" s="85"/>
      <c r="I33" s="85"/>
      <c r="J33" s="29"/>
      <c r="K33" s="29"/>
      <c r="L33" s="29"/>
      <c r="M33" s="29"/>
      <c r="N33" s="29"/>
      <c r="O33" s="29"/>
      <c r="P33" s="29"/>
      <c r="Q33" s="29"/>
    </row>
    <row r="34" spans="1:17" x14ac:dyDescent="0.25">
      <c r="E34" s="29"/>
      <c r="F34" s="29"/>
      <c r="G34" s="29"/>
      <c r="H34" s="29"/>
      <c r="I34" s="29"/>
      <c r="J34" s="29"/>
      <c r="K34" s="29"/>
      <c r="L34" s="29"/>
      <c r="M34" s="29"/>
      <c r="N34" s="29"/>
      <c r="O34" s="29"/>
      <c r="P34" s="29"/>
      <c r="Q34" s="29"/>
    </row>
    <row r="35" spans="1:17" x14ac:dyDescent="0.25">
      <c r="A35" s="85"/>
      <c r="B35" s="85"/>
      <c r="C35" s="85"/>
      <c r="D35" s="85"/>
      <c r="E35" s="85"/>
      <c r="F35" s="85"/>
      <c r="G35" s="85"/>
      <c r="H35" s="85"/>
      <c r="I35" s="85"/>
      <c r="J35" s="29"/>
      <c r="K35" s="29"/>
      <c r="L35" s="29"/>
      <c r="M35" s="29"/>
      <c r="N35" s="29"/>
      <c r="O35" s="29"/>
      <c r="P35" s="29"/>
      <c r="Q35" s="29"/>
    </row>
    <row r="36" spans="1:17" x14ac:dyDescent="0.25">
      <c r="A36" s="85"/>
      <c r="B36" s="85"/>
      <c r="C36" s="85"/>
      <c r="D36" s="85"/>
      <c r="E36" s="85"/>
      <c r="F36" s="85"/>
      <c r="G36" s="85"/>
      <c r="H36" s="85"/>
      <c r="I36" s="85"/>
      <c r="J36" s="29"/>
      <c r="K36" s="29"/>
      <c r="L36" s="29"/>
      <c r="M36" s="29"/>
      <c r="N36" s="29"/>
      <c r="O36" s="29"/>
      <c r="P36" s="29"/>
      <c r="Q36" s="29"/>
    </row>
    <row r="37" spans="1:17" x14ac:dyDescent="0.25">
      <c r="E37" s="29"/>
      <c r="F37" s="29"/>
      <c r="G37" s="29"/>
      <c r="H37" s="29"/>
      <c r="I37" s="29"/>
      <c r="J37" s="29"/>
      <c r="K37" s="29"/>
      <c r="L37" s="29"/>
      <c r="M37" s="29"/>
      <c r="N37" s="29"/>
      <c r="O37" s="29"/>
      <c r="P37" s="29"/>
      <c r="Q37" s="29"/>
    </row>
    <row r="38" spans="1:17" x14ac:dyDescent="0.25">
      <c r="A38" s="85"/>
      <c r="B38" s="85"/>
      <c r="C38" s="85"/>
      <c r="D38" s="85"/>
      <c r="E38" s="85"/>
      <c r="F38" s="85"/>
      <c r="G38" s="85"/>
      <c r="H38" s="85"/>
      <c r="I38" s="85"/>
      <c r="J38" s="29"/>
      <c r="K38" s="29"/>
      <c r="L38" s="29"/>
      <c r="M38" s="29"/>
      <c r="N38" s="29"/>
      <c r="O38" s="29"/>
      <c r="P38" s="29"/>
      <c r="Q38" s="29"/>
    </row>
    <row r="39" spans="1:17" x14ac:dyDescent="0.25">
      <c r="A39" s="85"/>
      <c r="B39" s="85"/>
      <c r="C39" s="85"/>
      <c r="D39" s="85"/>
      <c r="E39" s="85"/>
      <c r="F39" s="85"/>
      <c r="G39" s="85"/>
      <c r="H39" s="85"/>
      <c r="I39" s="85"/>
      <c r="J39" s="29"/>
      <c r="K39" s="29"/>
      <c r="L39" s="29"/>
      <c r="M39" s="29"/>
      <c r="N39" s="29"/>
      <c r="O39" s="29"/>
      <c r="P39" s="29"/>
      <c r="Q39" s="29"/>
    </row>
    <row r="40" spans="1:17" x14ac:dyDescent="0.25">
      <c r="E40" s="29"/>
      <c r="F40" s="29"/>
      <c r="G40" s="29"/>
      <c r="H40" s="29"/>
      <c r="I40" s="29"/>
      <c r="J40" s="29"/>
      <c r="K40" s="29"/>
      <c r="L40" s="29"/>
      <c r="M40" s="29"/>
      <c r="N40" s="29"/>
      <c r="O40" s="29"/>
      <c r="P40" s="29"/>
      <c r="Q40" s="29"/>
    </row>
    <row r="41" spans="1:17" x14ac:dyDescent="0.25">
      <c r="E41" s="29"/>
      <c r="F41" s="29"/>
      <c r="G41" s="29"/>
      <c r="H41" s="29"/>
      <c r="I41" s="29"/>
      <c r="J41" s="29"/>
      <c r="K41" s="29"/>
      <c r="L41" s="29"/>
      <c r="M41" s="29"/>
      <c r="N41" s="29"/>
      <c r="O41" s="29"/>
      <c r="P41" s="29"/>
      <c r="Q41" s="29"/>
    </row>
    <row r="42" spans="1:17" x14ac:dyDescent="0.25">
      <c r="E42" s="10"/>
      <c r="F42" s="10"/>
      <c r="G42" s="10"/>
      <c r="H42" s="10"/>
      <c r="I42" s="10"/>
      <c r="J42" s="10"/>
      <c r="K42" s="10"/>
      <c r="L42" s="10"/>
      <c r="M42" s="10"/>
      <c r="N42" s="10"/>
      <c r="O42" s="10"/>
      <c r="P42" s="10"/>
      <c r="Q42" s="10"/>
    </row>
    <row r="43" spans="1:17" x14ac:dyDescent="0.25">
      <c r="E43" s="10"/>
      <c r="F43" s="10"/>
      <c r="G43" s="10"/>
      <c r="H43" s="10"/>
      <c r="I43" s="10"/>
      <c r="J43" s="10"/>
      <c r="K43" s="10"/>
      <c r="L43" s="10"/>
      <c r="M43" s="10"/>
      <c r="N43" s="10"/>
      <c r="O43" s="10"/>
      <c r="P43" s="10"/>
      <c r="Q43" s="10"/>
    </row>
  </sheetData>
  <mergeCells count="17">
    <mergeCell ref="K4:P5"/>
    <mergeCell ref="Q4:R4"/>
    <mergeCell ref="Q5:R5"/>
    <mergeCell ref="Q1:Q2"/>
    <mergeCell ref="K1:P3"/>
    <mergeCell ref="A38:I39"/>
    <mergeCell ref="A35:I36"/>
    <mergeCell ref="A23:I24"/>
    <mergeCell ref="A20:I21"/>
    <mergeCell ref="A29:I30"/>
    <mergeCell ref="A32:I33"/>
    <mergeCell ref="B8:H9"/>
    <mergeCell ref="A11:I12"/>
    <mergeCell ref="A14:I15"/>
    <mergeCell ref="A17:I18"/>
    <mergeCell ref="A1:J3"/>
    <mergeCell ref="A4:J5"/>
  </mergeCells>
  <dataValidations count="10">
    <dataValidation allowBlank="1" errorTitle="Achtung, fehlerhafte Eingabe!" error="Du musst schon dein richtiges Gewicht in kg eingeben! Mindestens 5 kg sind erforderlich, maximal jedoch 360 kg. " promptTitle="Wichtige Info!" prompt="Gib hier bitte dein Gewicht in kg an. Dieser Startwert dient als Berechnungsgrundlage für die programminterne Kalkulation. Dein Gewicht brauchst du nur einmal einzugeben, unter dem Button &quot;Gewichtstabelle&quot; aber täglich dein aktuelles Gewicht vermerken!" sqref="M19" xr:uid="{AA3FF14D-E738-4AD8-91AC-B99A386802EE}"/>
    <dataValidation allowBlank="1" showInputMessage="1" showErrorMessage="1" errorTitle="Achtung, fehlerhafte Eingabe!" error="Du musst schon ein real existierendes Datum eingeben. Vielleicht hast du dich auch nur vertippt oder die Umschalttaste gedrückt, sodass ein ':' statt ein '.' eingegeben wurde." promptTitle="Wichtige Info!" sqref="M15" xr:uid="{99E5F61D-7901-4710-96D9-DF34CD9603D7}"/>
    <dataValidation allowBlank="1" showErrorMessage="1" errorTitle="Achtung, fehlerhafte Eingabe!" error="Du musst schon ein real existierendes Datum eingeben. Vielleicht hast du dich auch nur vertippt oder die Umschalttaste gedrückt, sodass ein ':' statt ein '.' eingegeben wurde." promptTitle="Wichtige Info!" prompt="Gib hier dein Geburtsdatum ein, entweder in den Formaten:_x000a_Zum Beispiel so:_x000a_          05.04.2023_x000a_          5.4.23 _x000a_oder _x000a_          2023-04-05_x000a_jede dieser Eingaben hat zur Folge, dass das Datum so ausgegeben wird:_x000a_          05.04.2023" sqref="N15" xr:uid="{95813F55-C503-4A12-A1CA-46FAD57B2AA7}"/>
    <dataValidation allowBlank="1" error="Du musst schon deine Größe in Metern und Zentimetern eingeben, nicht nur in Zentimetern! Die Berechnung des Bodymaß-Index verlangt das metrische System, bitte keine Inch, Elle oder Fuß eingeben!" promptTitle="Wichtige Info!" prompt="Trage hier deine Körpergröße in Metern (m) und Zentimetern (cm) durch ein Komma voneinander getrennt ein._x000a_Beispielsweise so: 1,82" sqref="M17" xr:uid="{BF0E34E3-E2FA-43BA-A50C-AA1289EEF016}"/>
    <dataValidation allowBlank="1" errorTitle="Achtung, Sabotage-Akt!" error="Zellen, die grün markiert sind, eignen sich nicht zur Dateneingabe. Hier sind Formeln hinterlegt, welche nicht zerstört werden dürfen. Danke für dein Verständnis!" promptTitle="Wichtige Info!" prompt="Du darfst hier nichts eingeben, es wird alles automatisch berechnet!" sqref="M21" xr:uid="{165731B0-9413-4598-B21E-006D170B5C7F}"/>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J23:Q41 E25:I25 E28:I28 E31:I31 E40:I41 E34:I34 E37:I37" xr:uid="{C2A06D9B-F68D-4959-B865-07DB0EC306CD}">
      <formula1>1.00001001001E+39</formula1>
      <formula2>1.00001001001E+39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4:R4 A4:J5" xr:uid="{0E6688D9-AFEF-435B-947B-389D3F2CD330}">
      <formula1>1.0000101010101E+39</formula1>
      <formula2>1.0000101010101E+39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5:R5" xr:uid="{3BAD417D-B021-4967-AC27-22BAFDD60174}">
      <formula1>4.0000050640321E+39</formula1>
      <formula2>4.0000050640321E+39</formula2>
    </dataValidation>
    <dataValidation type="whole" allowBlank="1" showInputMessage="1" showErrorMessage="1" errorTitle="Achtung, Sabotage-Akt" error="Die Daten aktualisieren sich von selbst und bedürfen keiner manuellen Nachbearbeitung._x000a_Aber danke, dass du es trotzdem versucht hast!" sqref="Q3" xr:uid="{83732B35-78CD-4FA8-8163-CC8A5C5BD7A0}">
      <formula1>1.000000104506E+39</formula1>
      <formula2>1.000000104506E+39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K4:P5" xr:uid="{9683EC43-A17E-4202-91DF-5892A5484538}">
      <formula1>2.0000021031015E+39</formula1>
      <formula2>2.0000021031015E+39</formula2>
    </dataValidation>
  </dataValidations>
  <pageMargins left="0.7" right="0.7" top="0.78740157499999996" bottom="0.78740157499999996"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CF916-21D7-4FAF-A944-5E823D579A02}">
  <dimension ref="A1:R44"/>
  <sheetViews>
    <sheetView showGridLines="0" showRowColHeaders="0" showRuler="0" zoomScaleNormal="100" workbookViewId="0">
      <selection activeCell="M21" sqref="M21"/>
    </sheetView>
  </sheetViews>
  <sheetFormatPr baseColWidth="10" defaultRowHeight="15" x14ac:dyDescent="0.25"/>
  <cols>
    <col min="1" max="10" width="2.85546875" customWidth="1"/>
    <col min="13" max="13" width="12.7109375" customWidth="1"/>
    <col min="14" max="14" width="2.85546875" customWidth="1"/>
    <col min="15" max="15" width="20" customWidth="1"/>
    <col min="19" max="19" width="1.42578125" customWidth="1"/>
  </cols>
  <sheetData>
    <row r="1" spans="1:18" x14ac:dyDescent="0.25">
      <c r="K1" s="116" t="str">
        <f>IF(Start!K7="English","Your personal data and information",IF(Start!K7="Español","Tus datos personales e información","Deine persönlichen Daten und Infos"))</f>
        <v>Deine persönlichen Daten und Infos</v>
      </c>
      <c r="L1" s="84"/>
      <c r="M1" s="84"/>
      <c r="N1" s="84"/>
      <c r="O1" s="84"/>
      <c r="P1" s="84"/>
      <c r="Q1" s="85"/>
      <c r="R1" s="85"/>
    </row>
    <row r="2" spans="1:18" x14ac:dyDescent="0.25">
      <c r="K2" s="84"/>
      <c r="L2" s="84"/>
      <c r="M2" s="84"/>
      <c r="N2" s="84"/>
      <c r="O2" s="84"/>
      <c r="P2" s="84"/>
      <c r="Q2" s="85"/>
      <c r="R2" s="85"/>
    </row>
    <row r="3" spans="1:18" x14ac:dyDescent="0.25">
      <c r="K3" s="84"/>
      <c r="L3" s="84"/>
      <c r="M3" s="84"/>
      <c r="N3" s="84"/>
      <c r="O3" s="84"/>
      <c r="P3" s="84"/>
      <c r="Q3" s="85"/>
      <c r="R3" s="85"/>
    </row>
    <row r="4" spans="1:18" ht="15.75" x14ac:dyDescent="0.25">
      <c r="A4" s="91" t="str">
        <f ca="1">Start!$A$4</f>
        <v>33. Kalenderwoche</v>
      </c>
      <c r="B4" s="91"/>
      <c r="C4" s="91"/>
      <c r="D4" s="91"/>
      <c r="E4" s="91"/>
      <c r="F4" s="91"/>
      <c r="G4" s="91"/>
      <c r="H4" s="91"/>
      <c r="I4" s="91"/>
      <c r="J4" s="91"/>
      <c r="K4" s="91" t="str">
        <f>IF('Persönliche Daten'!M14="",IF(Start!K7="English","A warm welcome to you! Will you please fill in your data?",IF(Start!K7="Español","¡Una calurosa bienvenida! ¿Podría rellenar sus datos?","Herzlich willkommen! Füllst du noch deine Daten aus?")),IF(Start!K7="English","Hello "&amp;'Persönliche Daten'!M14&amp;"!",IF(Start!K7="Español","¡Hola "&amp;'Persönliche Daten'!M14&amp;"!","Hallo, "&amp;'Persönliche Daten'!M14&amp;"!")))</f>
        <v>Herzlich willkommen! Füllst du noch deine Daten aus?</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6" spans="1:18" ht="7.5" customHeight="1" x14ac:dyDescent="0.25"/>
    <row r="7" spans="1:18" ht="15" customHeight="1" x14ac:dyDescent="0.25"/>
    <row r="8" spans="1:18" ht="7.5" customHeight="1" x14ac:dyDescent="0.25"/>
    <row r="9" spans="1:18" x14ac:dyDescent="0.25">
      <c r="B9" s="79" t="str">
        <f>IF(Start!K7="English","Start",IF(Start!K7="Español","Inicio","Start"))</f>
        <v>Start</v>
      </c>
      <c r="C9" s="79"/>
      <c r="D9" s="79"/>
      <c r="E9" s="79"/>
      <c r="F9" s="79"/>
      <c r="G9" s="79"/>
      <c r="H9" s="79"/>
      <c r="K9" s="107" t="str">
        <f>IF(Start!K7="English","Hello, allow me to introduce myself: my name is Mike and I am your personal assistant who will guide you through the program. First, let's get to know each other better, so please fill in the blue cells below:",IF(Start!K7="Español","Hola, permítame que me presente: me llamo Mike y soy tu asistente personal, que te guiará a lo largo del programa. En primer lugar, vamos a conocernos mejor, así que por favor rellena las celdas azules de abajo:","Hallo, gestatte mir, dass ich mich vorstelle: Mein Name ist Mike und ich bin dein persönlicher Assistent, der dich durch das Programm führt. Zunächst wollen wir uns näher kennenlernen, dazu fülle doch bitte die unten stehenden blauen Zellen aus:"))</f>
        <v>Hallo, gestatte mir, dass ich mich vorstelle: Mein Name ist Mike und ich bin dein persönlicher Assistent, der dich durch das Programm führt. Zunächst wollen wir uns näher kennenlernen, dazu fülle doch bitte die unten stehenden blauen Zellen aus:</v>
      </c>
      <c r="L9" s="108"/>
      <c r="M9" s="108"/>
      <c r="N9" s="108"/>
      <c r="O9" s="109"/>
    </row>
    <row r="10" spans="1:18" x14ac:dyDescent="0.25">
      <c r="B10" s="79"/>
      <c r="C10" s="79"/>
      <c r="D10" s="79"/>
      <c r="E10" s="79"/>
      <c r="F10" s="79"/>
      <c r="G10" s="79"/>
      <c r="H10" s="79"/>
      <c r="K10" s="110"/>
      <c r="L10" s="111"/>
      <c r="M10" s="111"/>
      <c r="N10" s="111"/>
      <c r="O10" s="112"/>
    </row>
    <row r="11" spans="1:18" x14ac:dyDescent="0.25">
      <c r="K11" s="110"/>
      <c r="L11" s="111"/>
      <c r="M11" s="111"/>
      <c r="N11" s="111"/>
      <c r="O11" s="112"/>
    </row>
    <row r="12" spans="1:18" x14ac:dyDescent="0.25">
      <c r="A12" s="79" t="str">
        <f>IF(Start!K7="English","Personal data",IF(Start!K7="Español","Datos personales","Persönliche Daten"))</f>
        <v>Persönliche Daten</v>
      </c>
      <c r="B12" s="79"/>
      <c r="C12" s="79"/>
      <c r="D12" s="79"/>
      <c r="E12" s="79"/>
      <c r="F12" s="79"/>
      <c r="G12" s="79"/>
      <c r="H12" s="79"/>
      <c r="I12" s="79"/>
      <c r="K12" s="113"/>
      <c r="L12" s="114"/>
      <c r="M12" s="114"/>
      <c r="N12" s="114"/>
      <c r="O12" s="115"/>
    </row>
    <row r="13" spans="1:18" x14ac:dyDescent="0.25">
      <c r="A13" s="79"/>
      <c r="B13" s="79"/>
      <c r="C13" s="79"/>
      <c r="D13" s="79"/>
      <c r="E13" s="79"/>
      <c r="F13" s="79"/>
      <c r="G13" s="79"/>
      <c r="H13" s="79"/>
      <c r="I13" s="79"/>
    </row>
    <row r="14" spans="1:18" x14ac:dyDescent="0.25">
      <c r="K14" s="103" t="str">
        <f>IF(Start!K7="English","Your Name:",IF(Start!K7="Español","Tu Nombre:","Dein Name:"))</f>
        <v>Dein Name:</v>
      </c>
      <c r="L14" s="103"/>
      <c r="M14" s="104"/>
      <c r="N14" s="105"/>
      <c r="O14" s="105"/>
    </row>
    <row r="15" spans="1:18" x14ac:dyDescent="0.25">
      <c r="A15" s="79" t="str">
        <f>IF(Start!K7="English","Weight table",IF(Start!K7="Español","Tabla de pesos","Gewichtstabelle"))</f>
        <v>Gewichtstabelle</v>
      </c>
      <c r="B15" s="79"/>
      <c r="C15" s="79"/>
      <c r="D15" s="79"/>
      <c r="E15" s="79"/>
      <c r="F15" s="79"/>
      <c r="G15" s="79"/>
      <c r="H15" s="79"/>
      <c r="I15" s="79"/>
    </row>
    <row r="16" spans="1:18" x14ac:dyDescent="0.25">
      <c r="A16" s="79"/>
      <c r="B16" s="79"/>
      <c r="C16" s="79"/>
      <c r="D16" s="79"/>
      <c r="E16" s="79"/>
      <c r="F16" s="79"/>
      <c r="G16" s="79"/>
      <c r="H16" s="79"/>
      <c r="I16" s="79"/>
      <c r="K16" s="103" t="str">
        <f>IF(Start!K7="English","Your date of birth:",IF(Start!K7="Español","Tu fecha de nacimiento:","Dein Geburtsdatum:"))</f>
        <v>Dein Geburtsdatum:</v>
      </c>
      <c r="L16" s="103"/>
      <c r="M16" s="5"/>
      <c r="N16" s="3"/>
    </row>
    <row r="18" spans="1:17" x14ac:dyDescent="0.25">
      <c r="A18" s="79" t="str">
        <f>IF(Start!K7="English","Weight target",IF(Start!K7="Español","Objetivo de peso","Gewichts-Ziel"))</f>
        <v>Gewichts-Ziel</v>
      </c>
      <c r="B18" s="79"/>
      <c r="C18" s="79"/>
      <c r="D18" s="79"/>
      <c r="E18" s="79"/>
      <c r="F18" s="79"/>
      <c r="G18" s="79"/>
      <c r="H18" s="79"/>
      <c r="I18" s="79"/>
      <c r="K18" s="103" t="str">
        <f>IF(Start!K7="English","Your height:",IF(Start!K7="Español","Tu estatura:","Deine Körpergröße:"))</f>
        <v>Deine Körpergröße:</v>
      </c>
      <c r="L18" s="103"/>
      <c r="M18" s="4"/>
      <c r="N18" s="8" t="s">
        <v>15</v>
      </c>
      <c r="O18" s="34" t="str">
        <f>IF(Umrechner!O10=0,"","("&amp;Umrechner!O10&amp;" m)")</f>
        <v/>
      </c>
    </row>
    <row r="19" spans="1:17" x14ac:dyDescent="0.25">
      <c r="A19" s="79"/>
      <c r="B19" s="79"/>
      <c r="C19" s="79"/>
      <c r="D19" s="79"/>
      <c r="E19" s="79"/>
      <c r="F19" s="79"/>
      <c r="G19" s="79"/>
      <c r="H19" s="79"/>
      <c r="I19" s="79"/>
    </row>
    <row r="20" spans="1:17" x14ac:dyDescent="0.25">
      <c r="K20" s="103" t="str">
        <f>IF(Start!K7="English","Your starting weight in kg:",IF(Start!K7="Español","Tu peso inicial en kg:","Dein Start-Gewicht in kg:"))</f>
        <v>Dein Start-Gewicht in kg:</v>
      </c>
      <c r="L20" s="103"/>
      <c r="M20" s="4"/>
      <c r="N20" s="8" t="s">
        <v>14</v>
      </c>
      <c r="O20" s="34" t="str">
        <f>IF(Umrechner!M15=0,"","("&amp;Umrechner!M15&amp;" kg)")</f>
        <v/>
      </c>
    </row>
    <row r="21" spans="1:17" x14ac:dyDescent="0.25">
      <c r="O21" s="22" t="str">
        <f>IF(Start!K7="English","Converter:",IF(Start!K7="Español","Convertidor","Umrechner"))</f>
        <v>Umrechner</v>
      </c>
    </row>
    <row r="22" spans="1:17" x14ac:dyDescent="0.25">
      <c r="K22" s="103" t="str">
        <f>IF(Start!K7="English","Your BMI:",IF(Start!K7="Español","Tu IMC:","Dein BMI:"))</f>
        <v>Dein BMI:</v>
      </c>
      <c r="L22" s="103"/>
      <c r="M22" s="6" t="str">
        <f>IFERROR(ROUNDDOWN(M20/(M18*M18),1),"")</f>
        <v/>
      </c>
      <c r="O22" s="22" t="s">
        <v>152</v>
      </c>
    </row>
    <row r="23" spans="1:17" x14ac:dyDescent="0.25">
      <c r="N23" t="s">
        <v>0</v>
      </c>
    </row>
    <row r="24" spans="1:17" x14ac:dyDescent="0.25">
      <c r="E24" s="106" t="str">
        <f>IF(Start!K7="English",IF(M22&lt;18.5,"Underweight    ( BMI &lt; 18,5)",IF(M22&lt;25,"Normal weight    (18,5 &lt;= BMI &lt; 25)",IF(M22&lt;30,"Overweight     (25 &lt;= BMI &lt; 30)",IF(M22&lt;35,"Obesity grade 1     (30 &lt;= BMI &lt; 35)",IF(M22&lt;40,"Obesity grade 2     (35 &lt;= BMI &lt; 40)","Obesity grade 3     (BMI &gt;= 40)"))))),IF(Start!K7="Español",IF(M22&lt;18.5,"Bajo peso   ( IMC &lt; 18,5)",IF(M22&lt;25,"Peso normal     (18,5 &lt;= IMC &lt; 25)",IF(M22&lt;30,"Sobrepeso     (25 &lt;= IMC &lt; 30)",IF(M22&lt;35,"Obesidad grado 1     (30 &lt;= IMC &lt; 35)",IF(M22&lt;40,"Obesidad grado 2     (35 &lt;= IMC &lt; 40)","Obesidad grado 3     (IMC &gt;= 40)"))))),IF(M22&lt;18.5,"Untergewicht    ( BMI &lt; 18,5)",IF(M22&lt;25,"Normalgewicht     (18,5 &lt;= BMI &lt; 25)",IF(M22&lt;30,"Übergewicht     (25 &lt;= BMI &lt; 30)",IF(M22&lt;35,"Adipositas Grad 1     (30 &lt;= BMI &lt; 35)",IF(M22&lt;40,"Adipositas Grad 2     (35 &lt;= BMI &lt; 40)","Adipositas Grad 3     (BMI &gt;= 40)")))))))</f>
        <v>Adipositas Grad 3     (BMI &gt;= 40)</v>
      </c>
      <c r="F24" s="106"/>
      <c r="G24" s="106"/>
      <c r="H24" s="106"/>
      <c r="I24" s="106"/>
      <c r="J24" s="106"/>
      <c r="K24" s="106"/>
      <c r="L24" s="106"/>
      <c r="M24" s="106"/>
      <c r="N24" s="106"/>
      <c r="O24" s="106"/>
      <c r="P24" s="106"/>
      <c r="Q24" s="106"/>
    </row>
    <row r="25" spans="1:17" ht="15" customHeight="1" x14ac:dyDescent="0.25">
      <c r="E25" s="94" t="str">
        <f>IF(E24="Adipositas Grad 1     (30 &lt;= BMI &lt; 35)",Programmdaten!K9&amp;Programmdaten!K10&amp;Programmdaten!K11&amp;Programmdaten!K7&amp;Programmdaten!K12&amp;Programmdaten!K13&amp;Programmdaten!K14&amp;Programmdaten!K15&amp;Programmdaten!K7&amp;Programmdaten!K16&amp;Programmdaten!K17&amp;Programmdaten!K18&amp;Programmdaten!K7&amp;Programmdaten!K19&amp;Programmdaten!K20&amp;Programmdaten!K21&amp;Programmdaten!K22&amp;Programmdaten!K7&amp;Programmdaten!K23&amp;Programmdaten!K24&amp;Programmdaten!K25&amp;Programmdaten!K26&amp;Programmdaten!K7&amp;Programmdaten!K27&amp;Programmdaten!K28,IF(E24="Underweight    ( BMI &lt; 18,5)",Programmdaten!K364&amp;Programmdaten!K365&amp;Programmdaten!K366&amp;Programmdaten!K367&amp;Programmdaten!K7&amp;Programmdaten!K368&amp;Programmdaten!K369&amp;Programmdaten!K370&amp;Programmdaten!K7&amp;Programmdaten!K371&amp;Programmdaten!K372&amp;Programmdaten!K373&amp;Programmdaten!K7&amp;Programmdaten!K374&amp;Programmdaten!K375&amp;Programmdaten!K376&amp;Programmdaten!K7&amp;Programmdaten!K377&amp;Programmdaten!K378&amp;Programmdaten!K379,IF(E24="Bajo peso   ( IMC &lt; 18,5)",Programmdaten!K384&amp;Programmdaten!K385&amp;Programmdaten!K386&amp;Programmdaten!K387&amp;Programmdaten!K7&amp;Programmdaten!K388&amp;Programmdaten!K389&amp;Programmdaten!K390&amp;Programmdaten!K391&amp;Programmdaten!K7&amp;Programmdaten!K392&amp;Programmdaten!K393&amp;Programmdaten!K394&amp;Programmdaten!K395&amp;Programmdaten!K396&amp;Programmdaten!K397&amp;Programmdaten!K398&amp;Programmdaten!K399&amp;Programmdaten!K7&amp;Programmdaten!K400&amp;Programmdaten!K401&amp;Programmdaten!K402,IF(E24="Peso normal     (18,5 &lt;= IMC &lt; 25)",Programmdaten!K343&amp;Programmdaten!K344&amp;Programmdaten!K7&amp;Programmdaten!K345&amp;Programmdaten!K346&amp;Programmdaten!K7&amp;Programmdaten!K347&amp;Programmdaten!K348&amp;Programmdaten!K349&amp;Programmdaten!K350&amp;Programmdaten!K7&amp;Programmdaten!K351&amp;Programmdaten!K352&amp;Programmdaten!K353&amp;Programmdaten!K354&amp;Programmdaten!K355&amp;Programmdaten!K7&amp;Programmdaten!K356&amp;Programmdaten!K357&amp;Programmdaten!K358&amp;Programmdaten!K359,IF(E24="Normal weight    (18,5 &lt;= BMI &lt; 25)",Programmdaten!K323&amp;Programmdaten!K324&amp;Programmdaten!K325&amp;Programmdaten!K326&amp;Programmdaten!K7&amp;Programmdaten!K327&amp;Programmdaten!K328&amp;Programmdaten!K7&amp;Programmdaten!K329&amp;Programmdaten!K330&amp;Programmdaten!K7&amp;Programmdaten!K331&amp;Programmdaten!K332&amp;Programmdaten!K333&amp;Programmdaten!K334&amp;Programmdaten!K7&amp;Programmdaten!K335&amp;Programmdaten!K336&amp;Programmdaten!K337&amp;Programmdaten!K338,IF(E24="Overweight     (25 &lt;= BMI &lt; 30)",Programmdaten!K284&amp;Programmdaten!K285&amp;Programmdaten!K286&amp;Programmdaten!K7&amp;Programmdaten!K287&amp;Programmdaten!K288&amp;Programmdaten!K289&amp;Programmdaten!K7&amp;Programmdaten!K290&amp;Programmdaten!K291&amp;Programmdaten!K292&amp;Programmdaten!K293&amp;Programmdaten!K7&amp;Programmdaten!K294&amp;Programmdaten!K295&amp;Programmdaten!K296&amp;Programmdaten!K7&amp;Programmdaten!K297&amp;Programmdaten!K298,IF(E24="Sobrepeso     (25 &lt;= IMC &lt; 30)",Programmdaten!K303&amp;Programmdaten!K304&amp;Programmdaten!K305&amp;Programmdaten!K7&amp;Programmdaten!K306&amp;Programmdaten!K7&amp;Programmdaten!K307&amp;Programmdaten!K7&amp;Programmdaten!K308&amp;Programmdaten!K309&amp;Programmdaten!K310&amp;Programmdaten!K311&amp;Programmdaten!K7&amp;Programmdaten!K312&amp;Programmdaten!K313&amp;Programmdaten!K314&amp;Programmdaten!K315&amp;Programmdaten!K7&amp;Programmdaten!K316&amp;Programmdaten!K317&amp;Programmdaten!K318,IF(E24="Obesidad grado 1     (30 &lt;= IMC &lt; 35)",Programmdaten!K182&amp;Programmdaten!K183&amp;Programmdaten!K184&amp;Programmdaten!K7&amp;Programmdaten!K185&amp;Programmdaten!K186&amp;Programmdaten!K187&amp;Programmdaten!K188&amp;Programmdaten!K7&amp;Programmdaten!K189&amp;Programmdaten!K190&amp;Programmdaten!K191&amp;Programmdaten!K192&amp;Programmdaten!K7&amp;Programmdaten!K193&amp;Programmdaten!K194&amp;Programmdaten!K195&amp;Programmdaten!K196&amp;Programmdaten!K7&amp;Programmdaten!K197&amp;Programmdaten!K7&amp;Programmdaten!K198&amp;Programmdaten!K199,IF(E24="Obesity grade 1     (30 &lt;= BMI &lt; 35)",Programmdaten!K158&amp;Programmdaten!K159&amp;Programmdaten!K160&amp;Programmdaten!K7&amp;Programmdaten!K161&amp;Programmdaten!K162&amp;Programmdaten!K163&amp;Programmdaten!K164&amp;Programmdaten!K7&amp;Programmdaten!K165&amp;Programmdaten!K166&amp;Programmdaten!K167&amp;Programmdaten!K7&amp;Programmdaten!K168&amp;Programmdaten!K169&amp;Programmdaten!K160&amp;Programmdaten!K170&amp;Programmdaten!K7&amp;Programmdaten!K171&amp;Programmdaten!K172&amp;Programmdaten!K173&amp;Programmdaten!K174&amp;Programmdaten!K175&amp;Programmdaten!K176&amp;Programmdaten!K177,IF(E24="Adipositas Grad 2     (35 &lt;= BMI &lt; 40)",Programmdaten!K33&amp;Programmdaten!K34&amp;Programmdaten!K35&amp;Programmdaten!K36&amp;Programmdaten!K37&amp;Programmdaten!K7&amp;Programmdaten!K38&amp;Programmdaten!K39&amp;Programmdaten!K40&amp;Programmdaten!K41&amp;Programmdaten!K7&amp;Programmdaten!K42&amp;Programmdaten!K43&amp;Programmdaten!K7&amp;Programmdaten!K44&amp;Programmdaten!K45&amp;Programmdaten!K46&amp;Programmdaten!K47&amp;Programmdaten!K7&amp;Programmdaten!K48&amp;Programmdaten!K49&amp;Programmdaten!K50&amp;Programmdaten!K51,IF(E24="Obesidad grado 2     (35 &lt;= IMC &lt; 40)",Programmdaten!K223&amp;Programmdaten!K224&amp;Programmdaten!K225&amp;Programmdaten!K226&amp;Programmdaten!K7&amp;Programmdaten!K227&amp;Programmdaten!K228&amp;Programmdaten!K229&amp;Programmdaten!K230&amp;Programmdaten!K7&amp;Programmdaten!K231&amp;Programmdaten!K232&amp;Programmdaten!K7&amp;Programmdaten!K233&amp;Programmdaten!K7&amp;Programmdaten!K235&amp;Programmdaten!K236&amp;Programmdaten!K237&amp;Programmdaten!K7&amp;Programmdaten!K238,IF(E24="Obesity grade 2     (35 &lt;= BMI &lt; 40)",Programmdaten!K204&amp;Programmdaten!K7&amp;Programmdaten!K205&amp;Programmdaten!K206&amp;Programmdaten!K207&amp;Programmdaten!K208&amp;Programmdaten!K7&amp;Programmdaten!K209&amp;Programmdaten!K210&amp;Programmdaten!K7&amp;Programmdaten!K211&amp;Programmdaten!K212&amp;Programmdaten!K213&amp;Programmdaten!K214&amp;Programmdaten!K215&amp;Programmdaten!K7&amp;Programmdaten!K216&amp;Programmdaten!K217,IF(E24="Obesity grade 3     (BMI &gt;= 40)",Programmdaten!K243&amp;Programmdaten!K7&amp;Programmdaten!K244&amp;Programmdaten!K245&amp;Programmdaten!K246&amp;Programmdaten!K247&amp;Programmdaten!K248&amp;Programmdaten!K249&amp;Programmdaten!K7&amp;Programmdaten!K250&amp;Programmdaten!K251&amp;Programmdaten!K252&amp;Programmdaten!K7&amp;Programmdaten!K253&amp;Programmdaten!K7&amp;Programmdaten!K254&amp;Programmdaten!K255&amp;Programmdaten!K256&amp;Programmdaten!K257,IF(E24="Obesidad grado 3     (IMC &gt;= 40)",Programmdaten!K262&amp;Programmdaten!K263&amp;Programmdaten!K264&amp;Programmdaten!K265&amp;Programmdaten!K7&amp;Programmdaten!K266&amp;Programmdaten!K267&amp;Programmdaten!K268&amp;Programmdaten!K7&amp;Programmdaten!K269&amp;Programmdaten!K270&amp;Programmdaten!K271&amp;Programmdaten!K7&amp;Programmdaten!K272&amp;Programmdaten!K273&amp;Programmdaten!K274&amp;Programmdaten!K7&amp;Programmdaten!K275&amp;Programmdaten!K276&amp;Programmdaten!K277&amp;Programmdaten!K278&amp;Programmdaten!K279,IF(E24="Adipositas Grad 3     (BMI &gt;= 40)",Programmdaten!K57&amp;Programmdaten!K58&amp;Programmdaten!K59&amp;Programmdaten!K60&amp;Programmdaten!K61&amp;Programmdaten!K7&amp;Programmdaten!K62&amp;Programmdaten!K63&amp;Programmdaten!K64&amp;Programmdaten!K7&amp;Programmdaten!K65&amp;Programmdaten!K66&amp;Programmdaten!K67&amp;Programmdaten!K68&amp;Programmdaten!K69&amp;Programmdaten!K70&amp;Programmdaten!K71&amp;Programmdaten!K7&amp;Programmdaten!K72&amp;Programmdaten!K73&amp;Programmdaten!K7&amp;Programmdaten!K74&amp;Programmdaten!K75&amp;Programmdaten!K76&amp;Programmdaten!K77&amp;Programmdaten!K78,IF(E24="Übergewicht     (25 &lt;= BMI &lt; 30)",Programmdaten!K83&amp;Programmdaten!K84&amp;Programmdaten!K85&amp;Programmdaten!K86&amp;Programmdaten!K7&amp;Programmdaten!K87&amp;Programmdaten!K88&amp;Programmdaten!K89&amp;Programmdaten!K7&amp;Programmdaten!K90&amp;Programmdaten!K91&amp;Programmdaten!K92&amp;Programmdaten!K93&amp;Programmdaten!K94&amp;Programmdaten!K95&amp;Programmdaten!K96&amp;Programmdaten!K7&amp;Programmdaten!K97&amp;Programmdaten!K98&amp;Programmdaten!K99&amp;Programmdaten!K100&amp;Programmdaten!K101&amp;Programmdaten!K7&amp;Programmdaten!K102&amp;Programmdaten!K103&amp;Programmdaten!K104,IF(E24="Normalgewicht     (18,5 &lt;= BMI &lt; 25)",Programmdaten!K109&amp;Programmdaten!K110&amp;Programmdaten!K111&amp;Programmdaten!K112&amp;Programmdaten!K113&amp;Programmdaten!K7&amp;Programmdaten!K114&amp;Programmdaten!K115&amp;Programmdaten!K116&amp;Programmdaten!K117&amp;Programmdaten!K7&amp;Programmdaten!K118&amp;Programmdaten!K119&amp;Programmdaten!K120&amp;Programmdaten!K121&amp;Programmdaten!K122&amp;Programmdaten!K7&amp;Programmdaten!K123&amp;Programmdaten!K124&amp;Programmdaten!K125&amp;Programmdaten!K126&amp;Programmdaten!K127,Programmdaten!K132&amp;Programmdaten!K133&amp;Programmdaten!K134&amp;Programmdaten!K135&amp;Programmdaten!K136&amp;Programmdaten!K7&amp;Programmdaten!K137&amp;Programmdaten!K138&amp;Programmdaten!K139&amp;Programmdaten!K140&amp;Programmdaten!K7&amp;Programmdaten!K141&amp;Programmdaten!K142&amp;Programmdaten!K143&amp;Programmdaten!K144&amp;Programmdaten!K145&amp;Programmdaten!K7&amp;Programmdaten!K146&amp;Programmdaten!K147&amp;Programmdaten!K148&amp;Programmdaten!K149&amp;Programmdaten!K7&amp;Programmdaten!K150&amp;Programmdaten!K151&amp;Programmdaten!K152&amp;Programmdaten!K153)))))))))))))))))</f>
        <v>Adipositas Grad 3, auch bekannt als schwere Adipositas oder extreme Adipositas, ist die höchste Stufe der Adipositas oder Fettleibigkeit. Es handelt sich um eine medizinische Erkrankung, bei der eine übermäßige Ansammlung von Körperfett auftritt. Adipositas Grad 3 wird in der Regel diagnostiziert, wenn der Body-Mass-Index (BMI) einer Person über 40 liegt.                                                                                                                                                                                                               Menschen mit Adipositas Grad 3 sind stark übergewichtig und haben ein erhöhtes Risiko für eine Vielzahl von Gesundheitsproblemen,  einschließlich Herzerkrankungen, Diabetes, hohem Blutdruck, Schlaf-Apnoe, Gelenk-problemen und bestimmten Krebsarten.                                                                                                                                                                                                                Die Lebensqualität kann stark beeinträchtigt sein, da alltägliche Aktivitäten erschwert werden können und das Risiko von psychischen Problemen wie Depressionen und sozialer Isolation steigt. Die Behandlung von Adipositas Grad 3 erfordert in der Regel einen multidisziplinären Ansatz. Dies kann eine Kombination aus einer Änderung des Lebensstils, einer gesunden Ernährung, regelmäßiger körperlicher Aktivität, Verhaltenstherapie, Medikamenten und in einigen Fällen auch einer bariatrischen Operation beinhalten.                                                                                                                                                                                                                Die Gewichtsreduktion kann dazu beitragen, die damit verbundenen Risiken zu verringern und die Gesundheit zu verbessern.                                                                                                                                                                                                               Es ist wichtig zu beachten, dass Adipositas eine komplexe Erkrankung ist, und es bedarf einer individuellen Herangehensweise, um sie zu bewältigen. Der Rat und die Unterstützung von Ärzten, Ernährungsfachleuten und Psychologen sind entscheidend, um Menschen mit Adipositas Grad 3 dabei zu helfen, ihre Gesundheitsziele zu erreichen und langfristig ein gesundes Gewicht zu halten.</v>
      </c>
      <c r="F25" s="95"/>
      <c r="G25" s="95"/>
      <c r="H25" s="95"/>
      <c r="I25" s="95"/>
      <c r="J25" s="95"/>
      <c r="K25" s="95"/>
      <c r="L25" s="95"/>
      <c r="M25" s="95"/>
      <c r="N25" s="95"/>
      <c r="O25" s="95"/>
      <c r="P25" s="95"/>
      <c r="Q25" s="96"/>
    </row>
    <row r="26" spans="1:17" x14ac:dyDescent="0.25">
      <c r="E26" s="97"/>
      <c r="F26" s="98"/>
      <c r="G26" s="98"/>
      <c r="H26" s="98"/>
      <c r="I26" s="98"/>
      <c r="J26" s="98"/>
      <c r="K26" s="98"/>
      <c r="L26" s="98"/>
      <c r="M26" s="98"/>
      <c r="N26" s="98"/>
      <c r="O26" s="98"/>
      <c r="P26" s="98"/>
      <c r="Q26" s="99"/>
    </row>
    <row r="27" spans="1:17" x14ac:dyDescent="0.25">
      <c r="E27" s="97"/>
      <c r="F27" s="98"/>
      <c r="G27" s="98"/>
      <c r="H27" s="98"/>
      <c r="I27" s="98"/>
      <c r="J27" s="98"/>
      <c r="K27" s="98"/>
      <c r="L27" s="98"/>
      <c r="M27" s="98"/>
      <c r="N27" s="98"/>
      <c r="O27" s="98"/>
      <c r="P27" s="98"/>
      <c r="Q27" s="99"/>
    </row>
    <row r="28" spans="1:17" x14ac:dyDescent="0.25">
      <c r="E28" s="97"/>
      <c r="F28" s="98"/>
      <c r="G28" s="98"/>
      <c r="H28" s="98"/>
      <c r="I28" s="98"/>
      <c r="J28" s="98"/>
      <c r="K28" s="98"/>
      <c r="L28" s="98"/>
      <c r="M28" s="98"/>
      <c r="N28" s="98"/>
      <c r="O28" s="98"/>
      <c r="P28" s="98"/>
      <c r="Q28" s="99"/>
    </row>
    <row r="29" spans="1:17" x14ac:dyDescent="0.25">
      <c r="E29" s="97"/>
      <c r="F29" s="98"/>
      <c r="G29" s="98"/>
      <c r="H29" s="98"/>
      <c r="I29" s="98"/>
      <c r="J29" s="98"/>
      <c r="K29" s="98"/>
      <c r="L29" s="98"/>
      <c r="M29" s="98"/>
      <c r="N29" s="98"/>
      <c r="O29" s="98"/>
      <c r="P29" s="98"/>
      <c r="Q29" s="99"/>
    </row>
    <row r="30" spans="1:17" x14ac:dyDescent="0.25">
      <c r="E30" s="97"/>
      <c r="F30" s="98"/>
      <c r="G30" s="98"/>
      <c r="H30" s="98"/>
      <c r="I30" s="98"/>
      <c r="J30" s="98"/>
      <c r="K30" s="98"/>
      <c r="L30" s="98"/>
      <c r="M30" s="98"/>
      <c r="N30" s="98"/>
      <c r="O30" s="98"/>
      <c r="P30" s="98"/>
      <c r="Q30" s="99"/>
    </row>
    <row r="31" spans="1:17" x14ac:dyDescent="0.25">
      <c r="E31" s="97"/>
      <c r="F31" s="98"/>
      <c r="G31" s="98"/>
      <c r="H31" s="98"/>
      <c r="I31" s="98"/>
      <c r="J31" s="98"/>
      <c r="K31" s="98"/>
      <c r="L31" s="98"/>
      <c r="M31" s="98"/>
      <c r="N31" s="98"/>
      <c r="O31" s="98"/>
      <c r="P31" s="98"/>
      <c r="Q31" s="99"/>
    </row>
    <row r="32" spans="1:17" x14ac:dyDescent="0.25">
      <c r="E32" s="97"/>
      <c r="F32" s="98"/>
      <c r="G32" s="98"/>
      <c r="H32" s="98"/>
      <c r="I32" s="98"/>
      <c r="J32" s="98"/>
      <c r="K32" s="98"/>
      <c r="L32" s="98"/>
      <c r="M32" s="98"/>
      <c r="N32" s="98"/>
      <c r="O32" s="98"/>
      <c r="P32" s="98"/>
      <c r="Q32" s="99"/>
    </row>
    <row r="33" spans="5:17" x14ac:dyDescent="0.25">
      <c r="E33" s="97"/>
      <c r="F33" s="98"/>
      <c r="G33" s="98"/>
      <c r="H33" s="98"/>
      <c r="I33" s="98"/>
      <c r="J33" s="98"/>
      <c r="K33" s="98"/>
      <c r="L33" s="98"/>
      <c r="M33" s="98"/>
      <c r="N33" s="98"/>
      <c r="O33" s="98"/>
      <c r="P33" s="98"/>
      <c r="Q33" s="99"/>
    </row>
    <row r="34" spans="5:17" x14ac:dyDescent="0.25">
      <c r="E34" s="97"/>
      <c r="F34" s="98"/>
      <c r="G34" s="98"/>
      <c r="H34" s="98"/>
      <c r="I34" s="98"/>
      <c r="J34" s="98"/>
      <c r="K34" s="98"/>
      <c r="L34" s="98"/>
      <c r="M34" s="98"/>
      <c r="N34" s="98"/>
      <c r="O34" s="98"/>
      <c r="P34" s="98"/>
      <c r="Q34" s="99"/>
    </row>
    <row r="35" spans="5:17" x14ac:dyDescent="0.25">
      <c r="E35" s="97"/>
      <c r="F35" s="98"/>
      <c r="G35" s="98"/>
      <c r="H35" s="98"/>
      <c r="I35" s="98"/>
      <c r="J35" s="98"/>
      <c r="K35" s="98"/>
      <c r="L35" s="98"/>
      <c r="M35" s="98"/>
      <c r="N35" s="98"/>
      <c r="O35" s="98"/>
      <c r="P35" s="98"/>
      <c r="Q35" s="99"/>
    </row>
    <row r="36" spans="5:17" x14ac:dyDescent="0.25">
      <c r="E36" s="97"/>
      <c r="F36" s="98"/>
      <c r="G36" s="98"/>
      <c r="H36" s="98"/>
      <c r="I36" s="98"/>
      <c r="J36" s="98"/>
      <c r="K36" s="98"/>
      <c r="L36" s="98"/>
      <c r="M36" s="98"/>
      <c r="N36" s="98"/>
      <c r="O36" s="98"/>
      <c r="P36" s="98"/>
      <c r="Q36" s="99"/>
    </row>
    <row r="37" spans="5:17" x14ac:dyDescent="0.25">
      <c r="E37" s="97"/>
      <c r="F37" s="98"/>
      <c r="G37" s="98"/>
      <c r="H37" s="98"/>
      <c r="I37" s="98"/>
      <c r="J37" s="98"/>
      <c r="K37" s="98"/>
      <c r="L37" s="98"/>
      <c r="M37" s="98"/>
      <c r="N37" s="98"/>
      <c r="O37" s="98"/>
      <c r="P37" s="98"/>
      <c r="Q37" s="99"/>
    </row>
    <row r="38" spans="5:17" x14ac:dyDescent="0.25">
      <c r="E38" s="97"/>
      <c r="F38" s="98"/>
      <c r="G38" s="98"/>
      <c r="H38" s="98"/>
      <c r="I38" s="98"/>
      <c r="J38" s="98"/>
      <c r="K38" s="98"/>
      <c r="L38" s="98"/>
      <c r="M38" s="98"/>
      <c r="N38" s="98"/>
      <c r="O38" s="98"/>
      <c r="P38" s="98"/>
      <c r="Q38" s="99"/>
    </row>
    <row r="39" spans="5:17" x14ac:dyDescent="0.25">
      <c r="E39" s="97"/>
      <c r="F39" s="98"/>
      <c r="G39" s="98"/>
      <c r="H39" s="98"/>
      <c r="I39" s="98"/>
      <c r="J39" s="98"/>
      <c r="K39" s="98"/>
      <c r="L39" s="98"/>
      <c r="M39" s="98"/>
      <c r="N39" s="98"/>
      <c r="O39" s="98"/>
      <c r="P39" s="98"/>
      <c r="Q39" s="99"/>
    </row>
    <row r="40" spans="5:17" x14ac:dyDescent="0.25">
      <c r="E40" s="97"/>
      <c r="F40" s="98"/>
      <c r="G40" s="98"/>
      <c r="H40" s="98"/>
      <c r="I40" s="98"/>
      <c r="J40" s="98"/>
      <c r="K40" s="98"/>
      <c r="L40" s="98"/>
      <c r="M40" s="98"/>
      <c r="N40" s="98"/>
      <c r="O40" s="98"/>
      <c r="P40" s="98"/>
      <c r="Q40" s="99"/>
    </row>
    <row r="41" spans="5:17" x14ac:dyDescent="0.25">
      <c r="E41" s="97"/>
      <c r="F41" s="98"/>
      <c r="G41" s="98"/>
      <c r="H41" s="98"/>
      <c r="I41" s="98"/>
      <c r="J41" s="98"/>
      <c r="K41" s="98"/>
      <c r="L41" s="98"/>
      <c r="M41" s="98"/>
      <c r="N41" s="98"/>
      <c r="O41" s="98"/>
      <c r="P41" s="98"/>
      <c r="Q41" s="99"/>
    </row>
    <row r="42" spans="5:17" x14ac:dyDescent="0.25">
      <c r="E42" s="100"/>
      <c r="F42" s="101"/>
      <c r="G42" s="101"/>
      <c r="H42" s="101"/>
      <c r="I42" s="101"/>
      <c r="J42" s="101"/>
      <c r="K42" s="101"/>
      <c r="L42" s="101"/>
      <c r="M42" s="101"/>
      <c r="N42" s="101"/>
      <c r="O42" s="101"/>
      <c r="P42" s="101"/>
      <c r="Q42" s="102"/>
    </row>
    <row r="43" spans="5:17" x14ac:dyDescent="0.25">
      <c r="E43" s="93" t="str">
        <f>IF(Start!K7="English","(Text: chat.openAI.com, translated by DeepL)",IF(Start!K7="Español","(Texto: chat.openAI.com, traducido por DeepL)","(Text: chat.openAI.com, übersetzt von DeepL)"))</f>
        <v>(Text: chat.openAI.com, übersetzt von DeepL)</v>
      </c>
      <c r="F43" s="93"/>
      <c r="G43" s="93"/>
      <c r="H43" s="93"/>
      <c r="I43" s="93"/>
      <c r="J43" s="93"/>
      <c r="K43" s="93"/>
      <c r="L43" s="93"/>
      <c r="M43" s="10"/>
      <c r="N43" s="10"/>
      <c r="O43" s="10"/>
      <c r="P43" s="10"/>
      <c r="Q43" s="10"/>
    </row>
    <row r="44" spans="5:17" x14ac:dyDescent="0.25">
      <c r="E44" s="10"/>
      <c r="F44" s="10"/>
      <c r="G44" s="10"/>
      <c r="H44" s="10"/>
      <c r="I44" s="10"/>
      <c r="J44" s="10"/>
      <c r="K44" s="10"/>
      <c r="L44" s="10"/>
      <c r="M44" s="10"/>
      <c r="N44" s="10"/>
      <c r="O44" s="10"/>
      <c r="P44" s="10"/>
      <c r="Q44" s="10"/>
    </row>
  </sheetData>
  <mergeCells count="20">
    <mergeCell ref="K1:P3"/>
    <mergeCell ref="Q1:R3"/>
    <mergeCell ref="A4:J5"/>
    <mergeCell ref="K4:P5"/>
    <mergeCell ref="Q4:R4"/>
    <mergeCell ref="Q5:R5"/>
    <mergeCell ref="E43:L43"/>
    <mergeCell ref="B9:H10"/>
    <mergeCell ref="A12:I13"/>
    <mergeCell ref="A15:I16"/>
    <mergeCell ref="A18:I19"/>
    <mergeCell ref="E25:Q42"/>
    <mergeCell ref="K22:L22"/>
    <mergeCell ref="K18:L18"/>
    <mergeCell ref="K14:L14"/>
    <mergeCell ref="M14:O14"/>
    <mergeCell ref="K16:L16"/>
    <mergeCell ref="K20:L20"/>
    <mergeCell ref="E24:Q24"/>
    <mergeCell ref="K9:O12"/>
  </mergeCells>
  <dataValidations count="12">
    <dataValidation type="decimal" allowBlank="1" showInputMessage="1" showErrorMessage="1" errorTitle="Achtung, fehlerhafte Eingabe!" error="Du musst schon dein richtiges Gewicht in kg eingeben! Mindestens 5 kg sind erforderlich, maximal jedoch 360 kg. " promptTitle="Wichtige Info!" prompt="Gib hier bitte dein Gewicht in kg an. Dieser Startwert dient als Berechnungsgrundlage für die programminterne Kalkulation. Dein Gewicht brauchst du nur einmal einzugeben, unter dem Button &quot;Gewichtstabelle&quot; aber täglich dein aktuelles Gewicht vermerken!" sqref="M20" xr:uid="{02776711-DCC4-40BE-B343-5EF62BB87443}">
      <formula1>5</formula1>
      <formula2>360</formula2>
    </dataValidation>
    <dataValidation type="date" allowBlank="1" showInputMessage="1" showErrorMessage="1" errorTitle="Achtung, fehlerhafte Eingabe!" error="Du musst schon ein real existierendes Datum eingeben. Vielleicht hast du dich auch nur vertippt oder die Umschalttaste gedrückt, sodass ein ':' statt ein '.' eingegeben wurde." promptTitle="Wichtige Info!" prompt="Gib hier dein Geburtsdatum ein, entweder in den Formaten:_x000a_Zum Beispiel so:_x000a_          05.04.2023_x000a_          5.4.23 _x000a_oder _x000a_          2023-04-05_x000a_jede dieser Eingaben hat zur Folge, dass das Datum so ausgegeben wird:_x000a_          05.04.2023" sqref="M16" xr:uid="{3560A188-DBEF-4A80-B142-B0BF13D67139}">
      <formula1>1</formula1>
      <formula2>2958465</formula2>
    </dataValidation>
    <dataValidation allowBlank="1" showErrorMessage="1" errorTitle="Achtung, fehlerhafte Eingabe!" error="Du musst schon ein real existierendes Datum eingeben. Vielleicht hast du dich auch nur vertippt oder die Umschalttaste gedrückt, sodass ein ':' statt ein '.' eingegeben wurde." promptTitle="Wichtige Info!" prompt="Gib hier dein Geburtsdatum ein, entweder in den Formaten:_x000a_Zum Beispiel so:_x000a_          05.04.2023_x000a_          5.4.23 _x000a_oder _x000a_          2023-04-05_x000a_jede dieser Eingaben hat zur Folge, dass das Datum so ausgegeben wird:_x000a_          05.04.2023" sqref="N16" xr:uid="{E8C49CEE-4970-4283-B7A1-B1FE58E4ACF0}"/>
    <dataValidation type="decimal" allowBlank="1" showInputMessage="1" showErrorMessage="1" errorTitle="Achtung, fehlerhafe Eingabe!" error="Du musst schon deine Größe in Metern und Zentimetern eingeben, nicht nur in Zentimetern! Die Berechnung des Bodymaß-Index verlangt das metrische System, bitte keine Inch, Elle oder Fuß eingeben!" promptTitle="Wichtige Info!" prompt="Trage hier deine Körpergröße in Metern (m) und Zentimetern (cm) durch ein Komma voneinander getrennt ein._x000a_Beispielsweise so: 1,82" sqref="M18" xr:uid="{AA48AEE8-AC84-4523-AC48-72FA6FF33B7B}">
      <formula1>0.1</formula1>
      <formula2>5</formula2>
    </dataValidation>
    <dataValidation type="whole" allowBlank="1" showInputMessage="1" showErrorMessage="1" errorTitle="Achtung, Sabotage-Akt!" error="Zellen, die grün markiert sind, eignen sich nicht zur Dateneingabe. Hier sind Formeln hinterlegt, welche nicht zerstört werden dürfen. Danke für dein Verständnis!" promptTitle="Wichtige Info!" prompt="Du darfst hier nichts eingeben, es wird alles automatisch berechnet!" sqref="M22" xr:uid="{8BA6AE09-5829-44D1-B830-5D1DFE82575D}">
      <formula1>1.00010010101111E+39</formula1>
      <formula2>1.00010010101111E+39</formula2>
    </dataValidation>
    <dataValidation allowBlank="1" showInputMessage="1" showErrorMessage="1" errorTitle="Achtung, Sabotage-Akt!" error="Die Daten im grauen Bereich sind vor jeglicher Eingabe geschützt! Weder eine zufällige, noch eine bewusste Manipulation sind erwünscht und werden von daher unterbunden!" sqref="E24:Q42" xr:uid="{0AAD6244-D27C-4CC5-BA61-9A7AEAF11823}"/>
    <dataValidation type="whole" allowBlank="1" showInputMessage="1" showErrorMessage="1" errorTitle="Achtung, Sabotage-Akt" error="Die Daten im dunkelblauen Bereich aktualisieren sich von selbst und bedürfen keiner manuellen Korrektur._x000a_Aber danke, dass du es trotzdem versucht hast!" sqref="A4:J5 Q4:R4" xr:uid="{52F2735E-E82E-49A5-8D0B-2E2FA5AF7D3C}">
      <formula1>1.0000101010101E+39</formula1>
      <formula2>1.0000101010101E+39</formula2>
    </dataValidation>
    <dataValidation allowBlank="1" showInputMessage="1" showErrorMessage="1" errorTitle="Achtung, Sabotage-Akt" error="Die Daten im dunkelblauen Bereich aktualisieren sich von selbst und bedürfen keiner manuellen Korrektur._x000a_Aber danke, dass du es trotzdem versucht hast!" sqref="K4:P5" xr:uid="{10EAB590-8E67-481F-8AD2-5924F0454713}"/>
    <dataValidation allowBlank="1" showInputMessage="1" showErrorMessage="1" errorTitle="Achtung, Sabotage-Akt" error="Die Daten im dunkelblauen Bereich aktualisieren sich von selbst und bedürfen keiner manuellen Bearbeitung._x000a_Aber danke, dass du es trotzdem versucht hast!" sqref="Q5:R5" xr:uid="{92FDA79F-169A-4DD3-BE31-35075CF1DF61}"/>
    <dataValidation type="whole" allowBlank="1" showInputMessage="1" showErrorMessage="1" errorTitle="Achtung, Sabotage-Akt!" error="Die Werte in dunkelgrüner Schrift sind eine Erinnerungshilfe, was da bei der Umrechnung vom englischen Maß-System zu Metern errechnet wurde. Bitte nichts daran ändern!" sqref="O20 O18" xr:uid="{9F85F9BA-B667-4E0E-8666-053E2BE80A59}">
      <formula1>1.00000203010506E+39</formula1>
      <formula2>1.00000203010506E+39</formula2>
    </dataValidation>
    <dataValidation type="whole" allowBlank="1" showInputMessage="1" showErrorMessage="1" errorTitle="Achtung, Sabotage-Akt!" error="Du darfst die Quellenangabe nicht so einfach abändern!" sqref="E43:L43" xr:uid="{06655D27-7130-4D1A-8410-7371329759C6}">
      <formula1>5.00000406012305E+39</formula1>
      <formula2>5.00000406012305E+39</formula2>
    </dataValidation>
    <dataValidation type="whole" allowBlank="1" showInputMessage="1" showErrorMessage="1" errorTitle="Achtung, Sabotage-Akt!" error="Du darfst hier nichts abändern!" sqref="K1:P3" xr:uid="{34979CD7-8D42-41F2-BFBA-05C93147F91D}">
      <formula1>1.0000506540321E+39</formula1>
      <formula2>1.0000506540321E+39</formula2>
    </dataValidation>
  </dataValidations>
  <pageMargins left="0.7" right="0.7" top="0.78740157499999996" bottom="0.78740157499999996"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1EEF5-A77B-494E-8A13-83DDD89E310C}">
  <dimension ref="A1:R62"/>
  <sheetViews>
    <sheetView showGridLines="0" showRowColHeaders="0" topLeftCell="A49" zoomScaleNormal="100" workbookViewId="0">
      <selection activeCell="K7" sqref="K7"/>
    </sheetView>
  </sheetViews>
  <sheetFormatPr baseColWidth="10" defaultRowHeight="15" x14ac:dyDescent="0.25"/>
  <cols>
    <col min="1" max="10" width="2.85546875" customWidth="1"/>
    <col min="19" max="19" width="1.42578125" customWidth="1"/>
  </cols>
  <sheetData>
    <row r="1" spans="1:18" x14ac:dyDescent="0.25">
      <c r="A1" s="85"/>
      <c r="B1" s="85"/>
      <c r="C1" s="85"/>
      <c r="D1" s="85"/>
      <c r="E1" s="85"/>
      <c r="F1" s="85"/>
      <c r="G1" s="85"/>
      <c r="H1" s="85"/>
      <c r="I1" s="85"/>
      <c r="J1" s="85"/>
      <c r="K1" s="116" t="str">
        <f>IF(Start!K7="English","Your weight goal",IF(Start!K7="Español","Tu objetivo de peso","Dein Gewichts-Ziel"))</f>
        <v>Dein Gewichts-Ziel</v>
      </c>
      <c r="L1" s="84"/>
      <c r="M1" s="84"/>
      <c r="N1" s="84"/>
      <c r="O1" s="84"/>
      <c r="P1" s="84"/>
      <c r="Q1" s="85"/>
      <c r="R1" s="85"/>
    </row>
    <row r="2" spans="1:18" x14ac:dyDescent="0.25">
      <c r="A2" s="85"/>
      <c r="B2" s="85"/>
      <c r="C2" s="85"/>
      <c r="D2" s="85"/>
      <c r="E2" s="85"/>
      <c r="F2" s="85"/>
      <c r="G2" s="85"/>
      <c r="H2" s="85"/>
      <c r="I2" s="85"/>
      <c r="J2" s="85"/>
      <c r="K2" s="84"/>
      <c r="L2" s="84"/>
      <c r="M2" s="84"/>
      <c r="N2" s="84"/>
      <c r="O2" s="84"/>
      <c r="P2" s="84"/>
      <c r="Q2" s="85"/>
      <c r="R2" s="85"/>
    </row>
    <row r="3" spans="1:18" x14ac:dyDescent="0.25">
      <c r="A3" s="85"/>
      <c r="B3" s="85"/>
      <c r="C3" s="85"/>
      <c r="D3" s="85"/>
      <c r="E3" s="85"/>
      <c r="F3" s="85"/>
      <c r="G3" s="85"/>
      <c r="H3" s="85"/>
      <c r="I3" s="85"/>
      <c r="J3" s="85"/>
      <c r="K3" s="84"/>
      <c r="L3" s="84"/>
      <c r="M3" s="84"/>
      <c r="N3" s="84"/>
      <c r="O3" s="84"/>
      <c r="P3" s="84"/>
      <c r="Q3" s="85"/>
      <c r="R3" s="85"/>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7" spans="1:18" ht="15.75" thickBot="1" x14ac:dyDescent="0.3"/>
    <row r="8" spans="1:18" ht="15" customHeight="1" x14ac:dyDescent="0.25">
      <c r="B8" s="79" t="str">
        <f>IF(Start!K7="English","Start",IF(Start!K7="Español","Inicio","Start"))</f>
        <v>Start</v>
      </c>
      <c r="C8" s="79"/>
      <c r="D8" s="79"/>
      <c r="E8" s="79"/>
      <c r="F8" s="79"/>
      <c r="G8" s="79"/>
      <c r="H8" s="79"/>
      <c r="K8" s="154" t="str">
        <f>IF('Persönliche Daten'!M14="",IF(Start!K7="English","Hello, Mr. or Mrs. Unknown, unfortunately you still have not introduced yourself to me! Please fill in your name under 'Personal data'.",IF(Start!K7="Español","Hola, Sr. o Sra. Desconocido/a, ¡desgraciadamente todavía no se ha presentado! Por favor, introduzca su nombre en 'Datos personales'.","Hallo, Herr oder Frau Unbekannt, leider hast du dich immer noch nicht bei mir vorgestellt! Bitte trage deinen Namen unter 'Persönliche Daten' doch noch nach.")),IF(Start!K7="English",IF(Programmdaten!U11=0,Programmdaten!K421,Programmdaten!K423&amp;Programmdaten!K424),IF(Start!K7="Español",IF(Programmdaten!U11=0,Programmdaten!K436,Programmdaten!K438&amp;Programmdaten!K439),IF(Programmdaten!U11=0,Programmdaten!K407,Programmdaten!K409&amp;Programmdaten!K410))))</f>
        <v>Hallo, Herr oder Frau Unbekannt, leider hast du dich immer noch nicht bei mir vorgestellt! Bitte trage deinen Namen unter 'Persönliche Daten' doch noch nach.</v>
      </c>
      <c r="L8" s="154"/>
      <c r="M8" s="154"/>
      <c r="N8" s="154"/>
      <c r="O8" s="154"/>
      <c r="P8" s="154"/>
      <c r="Q8" s="151">
        <f ca="1">IF(WEEKDAY(NOW())=7,SUMIF('Gewichts-Tabelle'!K16:K67,Programmdaten!U9,'Gewichts-Tabelle'!R16:R67),IF(WEEKDAY(NOW())=6,SUMIF('Gewichts-Tabelle'!K16:K67,Programmdaten!U9,'Gewichts-Tabelle'!Q16:Q67),IF(WEEKDAY(NOW())=5,SUMIF('Gewichts-Tabelle'!K16:K67,Programmdaten!U9,'Gewichts-Tabelle'!P16:P67),IF(WEEKDAY(NOW())=4,SUMIF('Gewichts-Tabelle'!K16:K67,Programmdaten!U9,'Gewichts-Tabelle'!O16:O67),IF(WEEKDAY(NOW())=3,SUMIF('Gewichts-Tabelle'!K16:K67,Programmdaten!U9,'Gewichts-Tabelle'!N16:Q67),IF(WEEKDAY(NOW())=2,SUMIF('Gewichts-Tabelle'!K16:K67,Programmdaten!U9,'Gewichts-Tabelle'!M16:M67),IF(WEEKDAY(NOW())=1,SUMIF('Gewichts-Tabelle'!K16:K67,Programmdaten!U9,'Gewichts-Tabelle'!L16:L67),"!?!")))))))</f>
        <v>0</v>
      </c>
    </row>
    <row r="9" spans="1:18" ht="15" customHeight="1" thickBot="1" x14ac:dyDescent="0.3">
      <c r="B9" s="79"/>
      <c r="C9" s="79"/>
      <c r="D9" s="79"/>
      <c r="E9" s="79"/>
      <c r="F9" s="79"/>
      <c r="G9" s="79"/>
      <c r="H9" s="79"/>
      <c r="K9" s="154"/>
      <c r="L9" s="154"/>
      <c r="M9" s="154"/>
      <c r="N9" s="154"/>
      <c r="O9" s="154"/>
      <c r="P9" s="154"/>
      <c r="Q9" s="152"/>
    </row>
    <row r="10" spans="1:18" ht="15.75" customHeight="1" x14ac:dyDescent="0.25">
      <c r="K10" s="154"/>
      <c r="L10" s="154"/>
      <c r="M10" s="154"/>
      <c r="N10" s="154"/>
      <c r="O10" s="154"/>
      <c r="P10" s="154"/>
      <c r="Q10" s="35"/>
    </row>
    <row r="11" spans="1:18" x14ac:dyDescent="0.25">
      <c r="A11" s="79" t="str">
        <f>IF(Start!K7="English","Personal data",IF(Start!K7="Español","Datos personales","Persönliche Daten"))</f>
        <v>Persönliche Daten</v>
      </c>
      <c r="B11" s="79"/>
      <c r="C11" s="79"/>
      <c r="D11" s="79"/>
      <c r="E11" s="79"/>
      <c r="F11" s="79"/>
      <c r="G11" s="79"/>
      <c r="H11" s="79"/>
      <c r="I11" s="79"/>
      <c r="K11" s="19"/>
      <c r="L11" s="19"/>
      <c r="M11" s="19"/>
      <c r="N11" s="19"/>
      <c r="O11" s="19"/>
      <c r="P11" s="19"/>
    </row>
    <row r="12" spans="1:18" ht="17.25" x14ac:dyDescent="0.3">
      <c r="A12" s="79"/>
      <c r="B12" s="79"/>
      <c r="C12" s="79"/>
      <c r="D12" s="79"/>
      <c r="E12" s="79"/>
      <c r="F12" s="79"/>
      <c r="G12" s="79"/>
      <c r="H12" s="79"/>
      <c r="I12" s="79"/>
      <c r="K12" s="127" t="str">
        <f ca="1">IF(Programmdaten!U16=0,IF(Start!K7="English","Please fill in the weight table for today first!",IF(Start!K7="Español","Rellena primero la tabla de pesos de hoy.","Bitte zuerst die Gewichtstabelle für heute ausfüllen!")),IF(Start!K7="English",IF(Programmdaten!U16&lt;18.5,"Underweight",IF(Programmdaten!U16&lt;25,"Normal weight",IF(Programmdaten!U16&lt;30,"Overweight",IF(Programmdaten!U16&lt;35,"Obesity grade 1",IF(Programmdaten!U16&lt;40,"Obesity grade 2","Obesity grade 3"))))),IF(Start!K7="Español",IF(Programmdaten!U16&lt;18.5,"Bajo peso",IF(Programmdaten!U16&lt;25,"Peso normal",IF(Programmdaten!U16&lt;30,"Sobrepeso",IF(Programmdaten!U16&lt;35,"Obesidad grado 1",IF(Programmdaten!U16&lt;40,"Obesidad grado 2","Obesidad grado 3"))))),IF(Programmdaten!U16&lt;18.5,"Untergewicht",IF(Programmdaten!U16&lt;25,"Normalgewicht",IF(Programmdaten!U16&lt;30,"Übergewicht",IF(Programmdaten!U16&lt;35,"Adipositas Grad 1",IF(Programmdaten!U16&lt;40,"Adipositas Grad 2","Adipositas Grad 3"))))))))</f>
        <v>Bitte zuerst die Gewichtstabelle für heute ausfüllen!</v>
      </c>
      <c r="L12" s="128"/>
      <c r="M12" s="128"/>
      <c r="N12" s="128"/>
      <c r="O12" s="128"/>
      <c r="P12" s="129"/>
    </row>
    <row r="14" spans="1:18" ht="15" customHeight="1" x14ac:dyDescent="0.25">
      <c r="A14" s="79" t="str">
        <f>IF(Start!K7="English","Weight table",IF(Start!K7="Español","Tabla de pesos","Gewichtstabelle"))</f>
        <v>Gewichtstabelle</v>
      </c>
      <c r="B14" s="79"/>
      <c r="C14" s="79"/>
      <c r="D14" s="79"/>
      <c r="E14" s="79"/>
      <c r="F14" s="79"/>
      <c r="G14" s="79"/>
      <c r="H14" s="79"/>
      <c r="I14" s="79"/>
      <c r="K14" s="153" t="str">
        <f ca="1">IF(K12="Untergewicht",Programmdaten!K417&amp;Programmdaten!K418,IF(K12="Normalgewicht",Programmdaten!K416&amp;Programmdaten!K418,IF(K12="Übergewicht",Programmdaten!K415&amp;Programmdaten!K418,IF(K12="Adipositas Grad 1",Programmdaten!K414&amp;Programmdaten!K418,IF(K12="Adipositas Grad 2",Programmdaten!K413&amp;Programmdaten!K418,IF(K12="Adipositas Grad 3",Programmdaten!K412&amp;Programmdaten!K418,IF(K12="Obesity grade 3",Programmdaten!K426&amp;Programmdaten!K432,IF(K12="Obesity grade 2",Programmdaten!K427&amp;Programmdaten!K432,IF(K12="Obesity grade 1",Programmdaten!K428&amp;Programmdaten!K432,IF(K12="Overweight",Programmdaten!K429&amp;Programmdaten!K432,IF(K12="Normal weight",Programmdaten!K430&amp;Programmdaten!K432,IF(K12="Underweight",Programmdaten!K431&amp;Programmdaten!K432,IF(K12="Obesidad grado 3",Programmdaten!K441&amp;Programmdaten!K447,IF(K12="Obesidad grado 2",Programmdaten!K442&amp;Programmdaten!K447,IF(K12="Obesidad grado 1",Programmdaten!K443&amp;Programmdaten!K447,IF(K12="Sobrepeso",Programmdaten!K444&amp;Programmdaten!K447,IF(K12="Peso normal",Programmdaten!K445&amp;Programmdaten!K447,IF(K12="Bajo peso",Programmdaten!K446&amp;Programmdaten!K447,"!"))))))))))))))))))</f>
        <v>!</v>
      </c>
      <c r="L14" s="153"/>
      <c r="M14" s="153"/>
      <c r="N14" s="153"/>
      <c r="O14" s="153"/>
      <c r="P14" s="153"/>
    </row>
    <row r="15" spans="1:18" x14ac:dyDescent="0.25">
      <c r="A15" s="79"/>
      <c r="B15" s="79"/>
      <c r="C15" s="79"/>
      <c r="D15" s="79"/>
      <c r="E15" s="79"/>
      <c r="F15" s="79"/>
      <c r="G15" s="79"/>
      <c r="H15" s="79"/>
      <c r="I15" s="79"/>
      <c r="K15" s="153"/>
      <c r="L15" s="153"/>
      <c r="M15" s="153"/>
      <c r="N15" s="153"/>
      <c r="O15" s="153"/>
      <c r="P15" s="153"/>
    </row>
    <row r="16" spans="1:18" x14ac:dyDescent="0.25">
      <c r="K16" s="153"/>
      <c r="L16" s="153"/>
      <c r="M16" s="153"/>
      <c r="N16" s="153"/>
      <c r="O16" s="153"/>
      <c r="P16" s="153"/>
    </row>
    <row r="17" spans="1:17" x14ac:dyDescent="0.25">
      <c r="A17" s="79" t="str">
        <f>IF(Start!K7="English","Weight target",IF(Start!K7="Español","Objetivo de peso","Gewichts-Ziel"))</f>
        <v>Gewichts-Ziel</v>
      </c>
      <c r="B17" s="79"/>
      <c r="C17" s="79"/>
      <c r="D17" s="79"/>
      <c r="E17" s="79"/>
      <c r="F17" s="79"/>
      <c r="G17" s="79"/>
      <c r="H17" s="79"/>
      <c r="I17" s="79"/>
      <c r="M17" s="20"/>
    </row>
    <row r="18" spans="1:17" x14ac:dyDescent="0.25">
      <c r="A18" s="79"/>
      <c r="B18" s="79"/>
      <c r="C18" s="79"/>
      <c r="D18" s="79"/>
      <c r="E18" s="79"/>
      <c r="F18" s="79"/>
      <c r="G18" s="79"/>
      <c r="H18" s="79"/>
      <c r="I18" s="79"/>
    </row>
    <row r="19" spans="1:17" ht="17.25" x14ac:dyDescent="0.25">
      <c r="K19" s="131" t="str">
        <f ca="1">IF(K12="Untergewicht","Normalgewicht",IF(K12="Underweight","Normal weight",IF(K12="Bajo peso","Peso normal",IF(K12="Normalgewicht","Normalgewicht",IF(K12="Normal weight","Normal weight",IF(K12="Peso normal","Peso normal",IF(K12="Übergewicht","Normalgewicht",IF(K12="Overweight","Normal weight",IF(K12="Sobrepeso","Peso normal",IF(K12="Adipositas Grad 1","Übergewicht",IF(K12="Obesity grade 1","Overweight",IF(K12="Obesidad grado 1","Sobrepeso",IF(K12="Obesidad grado 2","Obesidad grado 1",IF(K12="Obesity grade 2","Obesity grade 1",IF(K12="Adipositas Grad 2","Adipositas Grad 1",IF(K12="Adipositas Grad 3","Adipositas Grad 2",IF(K12="Obesity grade 3","Obesity grade 2",IF(K12="Obesidad grado 3","Obesidad grado 2","?!?"))))))))))))))))))</f>
        <v>?!?</v>
      </c>
      <c r="L19" s="132"/>
      <c r="M19" s="132"/>
      <c r="N19" s="132"/>
      <c r="O19" s="132"/>
      <c r="P19" s="133"/>
      <c r="Q19" s="71"/>
    </row>
    <row r="20" spans="1:17" ht="15" customHeight="1" x14ac:dyDescent="0.25">
      <c r="A20" s="79" t="str">
        <f>IF(Start!K7="English","Overview",IF(Start!K7="Español","Visión general","Übersicht"))</f>
        <v>Übersicht</v>
      </c>
      <c r="B20" s="84"/>
      <c r="C20" s="84"/>
      <c r="D20" s="84"/>
      <c r="E20" s="84"/>
      <c r="F20" s="84"/>
      <c r="G20" s="84"/>
      <c r="H20" s="84"/>
      <c r="I20" s="84"/>
    </row>
    <row r="21" spans="1:17" x14ac:dyDescent="0.25">
      <c r="A21" s="84"/>
      <c r="B21" s="84"/>
      <c r="C21" s="84"/>
      <c r="D21" s="84"/>
      <c r="E21" s="84"/>
      <c r="F21" s="84"/>
      <c r="G21" s="84"/>
      <c r="H21" s="84"/>
      <c r="I21" s="84"/>
      <c r="L21" s="116" t="str">
        <f>IF(Start!K7="English","Your target weight range",IF(Start!K7="Español","Tu rango de peso objetivo","Deine Zielgewichts-Bandbreite"))</f>
        <v>Deine Zielgewichts-Bandbreite</v>
      </c>
      <c r="M21" s="116"/>
      <c r="N21" s="116"/>
      <c r="O21" s="116"/>
    </row>
    <row r="22" spans="1:17" ht="15" customHeight="1" x14ac:dyDescent="0.25">
      <c r="E22" s="29"/>
      <c r="F22" s="29"/>
      <c r="G22" s="29"/>
      <c r="H22" s="29"/>
      <c r="I22" s="29"/>
      <c r="L22" s="116"/>
      <c r="M22" s="116"/>
      <c r="N22" s="116"/>
      <c r="O22" s="116"/>
    </row>
    <row r="24" spans="1:17" x14ac:dyDescent="0.25">
      <c r="K24" s="72">
        <f ca="1">Programmdaten!U21</f>
        <v>0</v>
      </c>
      <c r="L24" s="156" t="str">
        <f ca="1">IF(K12="Adipositas Grad 1","Zunächst solltest du in die Bandbreite von 'Übergewicht' kommen. Diese ist wie hier vermerkt:",IF(K12="Adipositas Grad 2","Zunächst solltest du in die Bandbreite von 'Adipositas Grad 1' kommen. Diese ist wie hier vermerkt:",IF(K12="Adipositas Grad 3","Zunächst solltest du in die Bandbreite von 'Adipositas Grad 2' kommen. Diese ist hier vermerkt:",IF(K12="Übergewicht","In die Bandbreite von 'Normalgewicht' sollst du kommen. Diese ist wie hier vermerkt:",IF(K12="Normalgewicht","In der Bandbreite von 'Normalgewicht' sollst du bleiben. Diese ist wie hier vermerkt:",IF(K12="Untergewicht","In die Bandbreite von 'Normalgewicht' sollst du kommen. Diese ist wie hier vermerkt:",IF(K12="Underweight","Into the range of 'Normal weight' you shall come. This is as noted here:",IF(K12="Overweight","Into the range of 'Normal weight' you shall come. This is as noted here:",IF(K12="Normal weight","Within the range of 'Normal weight' you should stay. This is as noted here:",IF(K12="Obesity grade 1","First, you should get into the range of 'Overweight'. This is as noted here:",IF(K12="Obesity grade 2","First, you should get into the range of 'Obesity grade 1'. This is as noted here:",IF(K12="Obesity grade 3","First, you should get into the range of 'Obesity grade 2'. This is as noted here:",IF(K12="Obesidad grado 3","En primer lugar, se supone que debes entrar en el rango de 'Obesidad grado 2'. Esto es como se indica aquí:",IF(K12="Obesidad grado 2","En primer lugar, se supone que debes entrar en el rango de 'Obesidad grado 1'. Esto es como se indica aquí:",IF(K12="Obesidad grado 1","En primer lugar, se supone que debes entrar en el rango de 'Sobrepeso'. Esto es como se indica aquí:",IF(K12="Sobrepeso","En primer lugar, se supone que debes entrar en el rango de 'Peso Normal'. Esto es como se indica aquí:",IF(K12="Peso Normal","En primer lugar, mantenes dentro  del rango de 'Peso Normal'. Esto es como se indica aquí:",IF(K12="Bajo peso","En primer lugar, se supone que debes entrar en el rango de 'Peso Normal'. Esto es como se indica aquí:","?!?"))))))))))))))))))</f>
        <v>?!?</v>
      </c>
      <c r="M24" s="156"/>
      <c r="N24" s="156"/>
      <c r="O24" s="156"/>
      <c r="P24" s="72">
        <f ca="1">Programmdaten!U24</f>
        <v>0</v>
      </c>
    </row>
    <row r="25" spans="1:17" x14ac:dyDescent="0.25">
      <c r="L25" s="156"/>
      <c r="M25" s="156"/>
      <c r="N25" s="156"/>
      <c r="O25" s="156"/>
    </row>
    <row r="26" spans="1:17" ht="15" customHeight="1" x14ac:dyDescent="0.25"/>
    <row r="27" spans="1:17" ht="15" customHeight="1" x14ac:dyDescent="0.25"/>
    <row r="28" spans="1:17" x14ac:dyDescent="0.25">
      <c r="K28" s="145" t="str">
        <f>IF(Start!K7="English","Your weekly average:",IF(Start!K7="Español","Tu media semanal:","Dein Wochenschnitt:"))</f>
        <v>Dein Wochenschnitt:</v>
      </c>
      <c r="L28" s="145"/>
      <c r="M28" s="145"/>
      <c r="N28" s="126">
        <f ca="1">Programmdaten!U18</f>
        <v>0</v>
      </c>
      <c r="O28" s="130" t="str">
        <f>" kg"</f>
        <v xml:space="preserve"> kg</v>
      </c>
    </row>
    <row r="29" spans="1:17" ht="15" customHeight="1" x14ac:dyDescent="0.25">
      <c r="K29" s="145"/>
      <c r="L29" s="145"/>
      <c r="M29" s="145"/>
      <c r="N29" s="126"/>
      <c r="O29" s="130"/>
    </row>
    <row r="30" spans="1:17" ht="15" customHeight="1" x14ac:dyDescent="0.25"/>
    <row r="31" spans="1:17" x14ac:dyDescent="0.25">
      <c r="K31" s="145" t="str">
        <f>IF(Start!K7="English","Enter your desired weight here:",IF(Start!K7="Español","Introduzca aquí el peso deseado:","Trage hier deine Wunschgewicht ein:"))</f>
        <v>Trage hier deine Wunschgewicht ein:</v>
      </c>
      <c r="L31" s="145"/>
      <c r="M31" s="145"/>
      <c r="N31" s="155">
        <v>0</v>
      </c>
      <c r="O31" s="130" t="str">
        <f>" kg"</f>
        <v xml:space="preserve"> kg</v>
      </c>
    </row>
    <row r="32" spans="1:17" ht="15" customHeight="1" x14ac:dyDescent="0.25">
      <c r="K32" s="145"/>
      <c r="L32" s="145"/>
      <c r="M32" s="145"/>
      <c r="N32" s="155"/>
      <c r="O32" s="130"/>
    </row>
    <row r="33" spans="8:15" ht="15" customHeight="1" x14ac:dyDescent="0.25"/>
    <row r="34" spans="8:15" x14ac:dyDescent="0.25">
      <c r="K34" s="145" t="str">
        <f ca="1">IF(Start!K7="English",IF(K12="Underweight","You want to gain weight:",IF(K12="Normal weight",IF(N31=N28,"You want to hold your weight:",IF(N31&lt;N28,"Your weight loss expectations:","You wnat to gain weight:")),"Your weight loss expectations:")),IF(Start!K7="Español",IF(K12="Bajo peso","Quieres ganar peso:",IF(K12="Peso normal",IF(N31=N28,"Quieres mantener tu peso:",IF(N31&lt;N28,"Quieres perder peso:","Quieres ganar peso:")),"Tus ideas para adelgazar:")),IF(Start!K7="Deutsch",IF(K12="Untergewicht","Du möchtest Gewicht zunehmen:",IF(K12="Normalgewicht",IF(N31=N28,"Du möchtest dein Gewicht halten:",IF(N31&lt;N28,"Du möchtest abnehmen:","Du möchtest zunehmen:")),"Deine Abnehmvorstellungen:")),"?!? Sprachen allgemein")))</f>
        <v>Deine Abnehmvorstellungen:</v>
      </c>
      <c r="L34" s="145"/>
      <c r="M34" s="145"/>
      <c r="N34" s="126">
        <f ca="1">N31-N28</f>
        <v>0</v>
      </c>
      <c r="O34" s="130" t="str">
        <f>" kg"</f>
        <v xml:space="preserve"> kg</v>
      </c>
    </row>
    <row r="35" spans="8:15" x14ac:dyDescent="0.25">
      <c r="K35" s="145"/>
      <c r="L35" s="145"/>
      <c r="M35" s="145"/>
      <c r="N35" s="126"/>
      <c r="O35" s="130"/>
    </row>
    <row r="36" spans="8:15" x14ac:dyDescent="0.25">
      <c r="M36" s="1"/>
    </row>
    <row r="37" spans="8:15" x14ac:dyDescent="0.25">
      <c r="K37" s="24" t="str">
        <f>IF(Start!K7="English","In what time frame do you want to make that happen?",IF(Start!K7="Español","¿En qué plazo de tiempo quieres realizarlo?","In welchem Zeitraum willst du das realisieren?"))</f>
        <v>In welchem Zeitraum willst du das realisieren?</v>
      </c>
      <c r="L37" s="24"/>
      <c r="M37" s="24"/>
      <c r="N37" s="24"/>
      <c r="O37" s="24"/>
    </row>
    <row r="39" spans="8:15" x14ac:dyDescent="0.25">
      <c r="K39" t="str">
        <f>IF(Start!K7="English","Your period:",IF(Start!K7="Español","Tu periodo:","Dein Zeitraum:"))</f>
        <v>Dein Zeitraum:</v>
      </c>
      <c r="M39" s="148" t="s">
        <v>440</v>
      </c>
      <c r="N39" s="149"/>
      <c r="O39" s="150"/>
    </row>
    <row r="40" spans="8:15" ht="15" customHeight="1" x14ac:dyDescent="0.25"/>
    <row r="41" spans="8:15" x14ac:dyDescent="0.25">
      <c r="K41" s="145" t="str">
        <f>IF(Start!K7="English","That would be per day:",IF(Start!K7="Español","Sería por día:","Das wären dann pro Tag :"))</f>
        <v>Das wären dann pro Tag :</v>
      </c>
      <c r="L41" s="145"/>
      <c r="M41" s="145"/>
      <c r="N41" s="146">
        <f ca="1">Programmdaten!U29</f>
        <v>0</v>
      </c>
      <c r="O41" s="147" t="str">
        <f>IF(Start!K7="English","grams",IF(Start!K7="Español","gramos","Gramm"))</f>
        <v>Gramm</v>
      </c>
    </row>
    <row r="42" spans="8:15" ht="15" customHeight="1" x14ac:dyDescent="0.25">
      <c r="K42" s="145"/>
      <c r="L42" s="145"/>
      <c r="M42" s="145"/>
      <c r="N42" s="146"/>
      <c r="O42" s="147"/>
    </row>
    <row r="43" spans="8:15" x14ac:dyDescent="0.25">
      <c r="H43" s="73"/>
      <c r="K43" s="25"/>
      <c r="L43" s="25"/>
      <c r="M43" s="25"/>
      <c r="N43" s="25"/>
      <c r="O43" s="25"/>
    </row>
    <row r="44" spans="8:15" x14ac:dyDescent="0.25">
      <c r="K44" s="136" t="str">
        <f ca="1">IF(Start!K7="English",IF(N41&gt;=500,"Pretty tight, but that's only for a short time! It would be better to choose a longer-term period!",IF(N41&gt;=140,"OK, I'm by your side to motivate you "&amp;M39&amp;" long!",IF(N41&gt;=80,"You have to stay consistent to reach your goal of  "&amp;ROUNDDOWN(N34,3)&amp;" kg within "&amp;M39&amp;"! - I will help you!",IF(N41&gt;=60,IF(K12="Underweight","You can manage to gain "&amp;N41&amp;" grams every day within "&amp;M39&amp;"!","You can do that, lose "&amp;N41&amp;" grams every day within "&amp;M39&amp;"!"),IF(N41&gt;=0,"It may sound ridiculously low now to want to "&amp;IF(K12="Underweight","gain","lose")&amp;" a whopping "&amp;N41&amp;" grams every day, but that's the guideline, which is the next "&amp;M39&amp;", every day!","?!?"))))),IF(Start!K7="Español",IF(N41&gt;=500,"Bastante ajustado, ¡pero eso es sólo por poco tiempo! Sería mejor elegir un periodo más largo.",IF(N41&gt;=140,"Vale,  ¡estoy a tu lado para motivarte durante "&amp;M39&amp;"!",IF(N41&gt;=80,"Tienes que ser constante para alcanzar tu objetivo de "&amp;ROUNDDOWN(N34,3)&amp;" kg en "&amp;M39&amp;"! - Yo te ayudaré.",IF(N41&gt;=60,IF(K12="Bajo peso","¡Esto es lo que puedes hacer para ganar "&amp;N41&amp;" gramos cada día durante  "&amp;M39&amp;"!","¡Cómo perder "&amp;N41&amp;" gramos cada día en "&amp;M39&amp;"!"),IF(N41&gt;=0,"Ahora puede sonar ridículo querer "&amp;IF(K12="Bajo peso","ganar","perder!")&amp;" la friolera de "&amp;N41&amp;" gramos cada día, pero esa es la pauta, que son los próximos "&amp;M39&amp;", ¡todos los días!","?!?"))))),IF(N41&gt;=500,"Ziemlich stramm, aber das ist ja nur für kurze Zeit! Besser wäre es, einen längerfristigen Zeitraum zu wählen!",IF(N41&gt;=140,"OK, ich bin an deiner Seite, um dich "&amp;M39&amp;" lang zu motivieren!",IF(N41&gt;=80,"Du musst konsequent dranbleiben, um dein Ziel von "&amp;ROUNDDOWN(N34,3)&amp;" kg innerhalb von "&amp;IF(M39="2 Monate","2 Monaten",IF(M39="3 Monate","3 Monaten",IF(M39="4 Monate","4 Monaten",M39)))&amp;" zu erreichen! - Ich helfe dir dabei!",IF(N41&gt;=60,"Das kriegst du hin, innerhalb von  "&amp;M39&amp;" jeden Tag "&amp;N41&amp;" Gramm "&amp;IF(K12="Untergewicht","zuzunehmen","abzunehmen!"),IF(N41&gt;=0,"Es mag jetzt vielleicht lächerlich gering klingen, stolze "&amp;N41&amp;" Gramm jeden Tag "&amp;IF(K12="Untergewicht","zunehmen","abnehmen!")&amp;" zu wollen, aber das ist der Richtwert, welcher die nächsten "&amp;M39&amp;" vorgibt, jeden Tag!","?!?")))))))</f>
        <v>Es mag jetzt vielleicht lächerlich gering klingen, stolze 0 Gramm jeden Tag abnehmen! zu wollen, aber das ist der Richtwert, welcher die nächsten 2 Tage vorgibt, jeden Tag!</v>
      </c>
      <c r="L44" s="137"/>
      <c r="M44" s="137"/>
      <c r="N44" s="137"/>
      <c r="O44" s="138"/>
    </row>
    <row r="45" spans="8:15" x14ac:dyDescent="0.25">
      <c r="K45" s="139"/>
      <c r="L45" s="140"/>
      <c r="M45" s="140"/>
      <c r="N45" s="140"/>
      <c r="O45" s="141"/>
    </row>
    <row r="46" spans="8:15" x14ac:dyDescent="0.25">
      <c r="K46" s="142"/>
      <c r="L46" s="143"/>
      <c r="M46" s="143"/>
      <c r="N46" s="143"/>
      <c r="O46" s="144"/>
    </row>
    <row r="47" spans="8:15" ht="15" customHeight="1" x14ac:dyDescent="0.25"/>
    <row r="48" spans="8:15" ht="15" customHeight="1" x14ac:dyDescent="0.25">
      <c r="K48" s="24" t="str">
        <f>IF(Start!K7="English","Set starting point",IF(Start!K7="Español","Fijar el punto de partida","Startpunkt festlegen"))</f>
        <v>Startpunkt festlegen</v>
      </c>
      <c r="L48" s="24"/>
      <c r="M48" s="24"/>
      <c r="N48" s="24"/>
      <c r="O48" s="24"/>
    </row>
    <row r="49" spans="11:15" ht="15" customHeight="1" x14ac:dyDescent="0.25">
      <c r="K49" s="117" t="str">
        <f ca="1">IF(Start!K7="English","Enter here once your calendar week (CW) in which you want to start. Currently we have the "&amp;A4&amp;". The start should be this week! (A starting point in the future would provide data from last year!). "&amp;"You only need to enter this starting point once before each weight loss cycle. If you have already entered it, then go straight to the 'Overview'.",IF(Start!K7="Español","Introduzca el calendario de la semana (CS) en la que deseas comenzar. Actualmente tenemos "&amp;A4&amp;". El punto de partida debería ser esta semana. (Un punto de partida en el futuro proporcionaría datos del año pasado). "&amp;"Sólo tiene que introducir este punto de partida una vez antes de cada ciclo de pérdida de peso. Si ya lo ha introducido, vaya directamente a la 'Visión general'. ","Trage hier einmalig deine Kalenderwoche (KW) ein, in der gestartet werden soll. Aktuell haben wir die "&amp;A4&amp;". Der Beginn sollte noch diese Woche sein! (Ein Startpunkt in der Zukunft würde die Daten vom letzten Jahr liefern!). "&amp;"Du brauchst diesen Startpunkt nur einmalig vor jedem Abnehm-Zyklus einzutragen. Wenn du ihn schon eingetragen haben solltest, dann gehe gleich weiter zur 'Übersicht'. "))</f>
        <v xml:space="preserve">Trage hier einmalig deine Kalenderwoche (KW) ein, in der gestartet werden soll. Aktuell haben wir die 33. Kalenderwoche. Der Beginn sollte noch diese Woche sein! (Ein Startpunkt in der Zukunft würde die Daten vom letzten Jahr liefern!). Du brauchst diesen Startpunkt nur einmalig vor jedem Abnehm-Zyklus einzutragen. Wenn du ihn schon eingetragen haben solltest, dann gehe gleich weiter zur 'Übersicht'. </v>
      </c>
      <c r="L49" s="118"/>
      <c r="M49" s="118"/>
      <c r="N49" s="118"/>
      <c r="O49" s="119"/>
    </row>
    <row r="50" spans="11:15" x14ac:dyDescent="0.25">
      <c r="K50" s="120"/>
      <c r="L50" s="121"/>
      <c r="M50" s="121"/>
      <c r="N50" s="121"/>
      <c r="O50" s="122"/>
    </row>
    <row r="51" spans="11:15" x14ac:dyDescent="0.25">
      <c r="K51" s="120"/>
      <c r="L51" s="121"/>
      <c r="M51" s="121"/>
      <c r="N51" s="121"/>
      <c r="O51" s="122"/>
    </row>
    <row r="52" spans="11:15" x14ac:dyDescent="0.25">
      <c r="K52" s="120"/>
      <c r="L52" s="121"/>
      <c r="M52" s="121"/>
      <c r="N52" s="121"/>
      <c r="O52" s="122"/>
    </row>
    <row r="53" spans="11:15" x14ac:dyDescent="0.25">
      <c r="K53" s="120"/>
      <c r="L53" s="121"/>
      <c r="M53" s="121"/>
      <c r="N53" s="121"/>
      <c r="O53" s="122"/>
    </row>
    <row r="54" spans="11:15" x14ac:dyDescent="0.25">
      <c r="K54" s="120"/>
      <c r="L54" s="121"/>
      <c r="M54" s="121"/>
      <c r="N54" s="121"/>
      <c r="O54" s="122"/>
    </row>
    <row r="55" spans="11:15" x14ac:dyDescent="0.25">
      <c r="K55" s="120"/>
      <c r="L55" s="121"/>
      <c r="M55" s="121"/>
      <c r="N55" s="121"/>
      <c r="O55" s="122"/>
    </row>
    <row r="56" spans="11:15" x14ac:dyDescent="0.25">
      <c r="K56" s="123"/>
      <c r="L56" s="124"/>
      <c r="M56" s="124"/>
      <c r="N56" s="124"/>
      <c r="O56" s="125"/>
    </row>
    <row r="58" spans="11:15" ht="15" customHeight="1" x14ac:dyDescent="0.25">
      <c r="M58" s="134" t="s">
        <v>439</v>
      </c>
    </row>
    <row r="59" spans="11:15" ht="15" customHeight="1" x14ac:dyDescent="0.25">
      <c r="M59" s="135"/>
    </row>
    <row r="61" spans="11:15" ht="17.25" customHeight="1" x14ac:dyDescent="0.25">
      <c r="L61" s="116" t="str">
        <f>IF(Start!K7="English","Overview",IF(Start!K7="Español","Visión general","Übersicht"))</f>
        <v>Übersicht</v>
      </c>
      <c r="M61" s="116"/>
      <c r="N61" s="116"/>
    </row>
    <row r="62" spans="11:15" ht="17.25" customHeight="1" x14ac:dyDescent="0.25">
      <c r="L62" s="116"/>
      <c r="M62" s="116"/>
      <c r="N62" s="116"/>
    </row>
  </sheetData>
  <mergeCells count="36">
    <mergeCell ref="N34:N35"/>
    <mergeCell ref="N31:N32"/>
    <mergeCell ref="O31:O32"/>
    <mergeCell ref="A20:I21"/>
    <mergeCell ref="L24:O25"/>
    <mergeCell ref="L21:O22"/>
    <mergeCell ref="Q1:R3"/>
    <mergeCell ref="A4:J5"/>
    <mergeCell ref="K4:P5"/>
    <mergeCell ref="Q4:R4"/>
    <mergeCell ref="Q5:R5"/>
    <mergeCell ref="A1:J3"/>
    <mergeCell ref="K1:P3"/>
    <mergeCell ref="Q8:Q9"/>
    <mergeCell ref="B8:H9"/>
    <mergeCell ref="A11:I12"/>
    <mergeCell ref="A14:I15"/>
    <mergeCell ref="A17:I18"/>
    <mergeCell ref="K14:P16"/>
    <mergeCell ref="K8:P10"/>
    <mergeCell ref="L61:N62"/>
    <mergeCell ref="K49:O56"/>
    <mergeCell ref="N28:N29"/>
    <mergeCell ref="K12:P12"/>
    <mergeCell ref="O28:O29"/>
    <mergeCell ref="K19:P19"/>
    <mergeCell ref="M58:M59"/>
    <mergeCell ref="K44:O46"/>
    <mergeCell ref="K41:M42"/>
    <mergeCell ref="N41:N42"/>
    <mergeCell ref="O41:O42"/>
    <mergeCell ref="M39:O39"/>
    <mergeCell ref="O34:O35"/>
    <mergeCell ref="K31:M32"/>
    <mergeCell ref="K28:M29"/>
    <mergeCell ref="K34:M35"/>
  </mergeCells>
  <dataValidations count="12">
    <dataValidation type="whole" allowBlank="1" showInputMessage="1" showErrorMessage="1" errorTitle="Achtung, keine Eingabe!" error="Hier darfst du nichts eingeben, die Daten im grünen Bereich sind bestens gegen Manipulationsversuche geschützt._x000a_Aber danke, dass du es trotzdem probiert hast!" promptTitle="Wichtige Info!" prompt="Hier darfst du nichts eintragen, die Daten werden automatisch aus der Gewichtstabelle ausgelesen." sqref="N28:N29" xr:uid="{88863BAF-3308-4A10-8DD8-76814C8A96B0}">
      <formula1>1.000000010005E+39</formula1>
      <formula2>1.000000010005E+39</formula2>
    </dataValidation>
    <dataValidation type="whole" allowBlank="1" showInputMessage="1" showErrorMessage="1" errorTitle="Achtung, Sabotage-Akt!" error="Die Daten im grünen Bereich aktualisieren sich von selbst und bedürfen keiner manuellen Korrektur._x000a_Aber danke, dass du es versucht hast!" sqref="N34:N35" xr:uid="{76524EE2-666A-4B4C-8246-4E3F22B4E7CB}">
      <formula1>1.0000100010101E+39</formula1>
      <formula2>1.0000100010101E+39</formula2>
    </dataValidation>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E22:I22" xr:uid="{31368AF3-93FA-4C08-BDE5-96F34DAE9C49}">
      <formula1>1.00001001001E+39</formula1>
      <formula2>1.00001001001E+39</formula2>
    </dataValidation>
    <dataValidation type="whole" allowBlank="1" showInputMessage="1" showErrorMessage="1" errorTitle="Achtung, Sabotage-Akt!" error="Das hier ist kein Eingabe-Feld. Du darfst von daher keine Änderungen vornehmen!" sqref="K14:P16 K8:P10 K12:P12 Q8:Q9 K19:P19" xr:uid="{CBB30045-5CC6-4CFF-8ED3-1C8165C2AEC8}">
      <formula1>7.00000000070044E+39</formula1>
      <formula2>7.00000000070044E+39</formula2>
    </dataValidation>
    <dataValidation type="whole" allowBlank="1" showInputMessage="1" showErrorMessage="1" errorTitle="Achtung, Sabotage-Akt!" error="Die Daten im grünen Bereich werden automatisch aktualisiert und bedürfen keiner manuellen Korrektur. Aber danke, dass du es trotzdem versucht hast!" sqref="P24 K24" xr:uid="{15BD62CC-64CB-48A8-8BBA-924C990F5ADD}">
      <formula1>5.00000000000012E+39</formula1>
      <formula2>5.00000000000012E+39</formula2>
    </dataValidation>
    <dataValidation type="decimal" allowBlank="1" showInputMessage="1" showErrorMessage="1" errorTitle="Achtung, fehlerhafte Eingabe!" error="Du musst schon einen realen Wert im Bandbreitenbereich eingeben!" sqref="N31:N32" xr:uid="{096B5903-8CC1-4D45-AE5D-3EDEDE70C229}">
      <formula1>K24</formula1>
      <formula2>P24</formula2>
    </dataValidation>
    <dataValidation allowBlank="1" showInputMessage="1" showErrorMessage="1" errorTitle="Achtung, Sabotage-Akt!" error="Das hier ist kein Eingabe-Feld. Du darfst von daher keine Änderungen vornehmen!" sqref="L24:O25" xr:uid="{9DA6DDF2-0DC3-4A5D-AC93-9BFDBCF877B7}"/>
    <dataValidation type="whole" allowBlank="1" showInputMessage="1" showErrorMessage="1" errorTitle="Achtung, Sabotage-Akt!" error="Du darfst hier nichts eintragen!" sqref="K28:M29 K31:M32 K41:M42 K48 K37 K39" xr:uid="{8E3C0377-0054-4FCE-A2BC-6A11C272B5D9}">
      <formula1>5.00000006540321E+39</formula1>
      <formula2>5.00000006540321E+39</formula2>
    </dataValidation>
    <dataValidation type="whole" allowBlank="1" showInputMessage="1" showErrorMessage="1" errorTitle="Achtung, Sabotage-Akt!" error="Du darfst hier nichts eintragen!" sqref="K1:P3" xr:uid="{127F6A32-DB8C-408B-A5B9-69A191B13F80}">
      <formula1>1.00000505065406E+39</formula1>
      <formula2>1.00000505065406E+39</formula2>
    </dataValidation>
    <dataValidation type="whole" allowBlank="1" showInputMessage="1" showErrorMessage="1" errorTitle="Achtung, Sabotage-Akt!" error="Dies ist kein Eingabefeld, du darfst hier nichts eintragen!" sqref="K34:M35" xr:uid="{72503671-FAE7-41AD-A375-03016752969A}">
      <formula1>1.00002030120305E+39</formula1>
      <formula2>1.00002030120305E+39</formula2>
    </dataValidation>
    <dataValidation type="whole" allowBlank="1" showInputMessage="1" showErrorMessage="1" errorTitle="Achtung, Sabotage-Akt!" error="Du darfst hier nichts eintragen!" sqref="K44:O46" xr:uid="{6F911B26-49E1-41C7-A7F9-3750DA4498A0}">
      <formula1>2.00000202020202E+39</formula1>
      <formula2>2.00000202020202E+39</formula2>
    </dataValidation>
    <dataValidation type="whole" allowBlank="1" showInputMessage="1" showErrorMessage="1" errorTitle="Achtung, Sabotage-Akt!" error="Dies ist kein Eingabe-Feld, du darst hier nichts eintragen!" sqref="K49:O56" xr:uid="{B60822BD-060F-4C4C-B91B-96BC05438E2C}">
      <formula1>1.0000000000001E+39</formula1>
      <formula2>1.0000000000001E+39</formula2>
    </dataValidation>
  </dataValidations>
  <pageMargins left="0.7" right="0.7" top="0.78740157499999996" bottom="0.78740157499999996" header="0.3" footer="0.3"/>
  <pageSetup paperSize="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4E42E99-0693-4C0D-B616-12D4648D77AE}">
          <x14:formula1>
            <xm:f>Programmdaten!$W$9:$W$12</xm:f>
          </x14:formula1>
          <xm:sqref>M39</xm:sqref>
        </x14:dataValidation>
        <x14:dataValidation type="list" allowBlank="1" showInputMessage="1" showErrorMessage="1" promptTitle="Wichtige Info!" prompt="Gib hier bitte deine Wunsch-Kalenderwoche zum Durchstarten ein!" xr:uid="{51ED9B68-377B-40E1-80C4-77D14F15A36E}">
          <x14:formula1>
            <xm:f>Programmdaten!$Y$9:$Y$60</xm:f>
          </x14:formula1>
          <xm:sqref>M58:M59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37BF0-20B7-45C2-8617-09E1983CCF91}">
  <dimension ref="A1:R43"/>
  <sheetViews>
    <sheetView topLeftCell="A7" zoomScaleNormal="100" workbookViewId="0">
      <selection activeCell="K7" sqref="K7"/>
    </sheetView>
  </sheetViews>
  <sheetFormatPr baseColWidth="10" defaultRowHeight="15" x14ac:dyDescent="0.25"/>
  <cols>
    <col min="1" max="10" width="2.85546875" customWidth="1"/>
    <col min="11" max="11" width="11.42578125" customWidth="1"/>
    <col min="13" max="13" width="8.5703125" customWidth="1"/>
    <col min="14" max="14" width="11.42578125" customWidth="1"/>
    <col min="15" max="15" width="10.7109375" customWidth="1"/>
    <col min="16" max="16" width="10.140625" customWidth="1"/>
    <col min="19" max="19" width="1.42578125" customWidth="1"/>
  </cols>
  <sheetData>
    <row r="1" spans="1:18" ht="15" customHeight="1" x14ac:dyDescent="0.25">
      <c r="A1" s="85"/>
      <c r="B1" s="85"/>
      <c r="C1" s="85"/>
      <c r="D1" s="85"/>
      <c r="E1" s="85"/>
      <c r="F1" s="85"/>
      <c r="G1" s="85"/>
      <c r="H1" s="85"/>
      <c r="I1" s="85"/>
      <c r="J1" s="85"/>
      <c r="K1" s="116" t="str">
        <f>IF(Start!K7="English","Fitness",IF(Start!K7="Español","Forma físisca","Fitness"))</f>
        <v>Fitness</v>
      </c>
      <c r="L1" s="116"/>
      <c r="M1" s="116"/>
      <c r="N1" s="116"/>
      <c r="O1" s="116"/>
      <c r="P1" s="116"/>
      <c r="Q1" s="116"/>
    </row>
    <row r="2" spans="1:18" ht="15" customHeight="1" x14ac:dyDescent="0.25">
      <c r="A2" s="85"/>
      <c r="B2" s="85"/>
      <c r="C2" s="85"/>
      <c r="D2" s="85"/>
      <c r="E2" s="85"/>
      <c r="F2" s="85"/>
      <c r="G2" s="85"/>
      <c r="H2" s="85"/>
      <c r="I2" s="85"/>
      <c r="J2" s="85"/>
      <c r="K2" s="116"/>
      <c r="L2" s="116"/>
      <c r="M2" s="116"/>
      <c r="N2" s="116"/>
      <c r="O2" s="116"/>
      <c r="P2" s="116"/>
      <c r="Q2" s="116"/>
    </row>
    <row r="3" spans="1:18" x14ac:dyDescent="0.25">
      <c r="A3" s="85"/>
      <c r="B3" s="85"/>
      <c r="C3" s="85"/>
      <c r="D3" s="85"/>
      <c r="E3" s="85"/>
      <c r="F3" s="85"/>
      <c r="G3" s="85"/>
      <c r="H3" s="85"/>
      <c r="I3" s="85"/>
      <c r="J3" s="85"/>
      <c r="K3" s="116"/>
      <c r="L3" s="116"/>
      <c r="M3" s="116"/>
      <c r="N3" s="116"/>
      <c r="O3" s="116"/>
      <c r="P3" s="116"/>
      <c r="Q3" s="74"/>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8" spans="1:18" x14ac:dyDescent="0.25">
      <c r="B8" s="79" t="str">
        <f>IF(Start!K7="English","Start",IF(Start!K7="Español","Inicio","Start"))</f>
        <v>Start</v>
      </c>
      <c r="C8" s="79"/>
      <c r="D8" s="79"/>
      <c r="E8" s="79"/>
      <c r="F8" s="79"/>
      <c r="G8" s="79"/>
      <c r="H8" s="79"/>
      <c r="K8" s="159" t="str">
        <f>IF(Start!K7="English",Programmdaten!K460&amp;Programmdaten!K461&amp;Programmdaten!K462&amp;Programmdaten!K463,IF(Start!K7="Español",Programmdaten!K468&amp;Programmdaten!K469&amp;Programmdaten!K470&amp;Programmdaten!K471,Programmdaten!K452&amp;Programmdaten!K453&amp;Programmdaten!K454&amp;Programmdaten!K455))</f>
        <v>In einer Welt, die von Technologie und Bequemlichkeit geprägt ist, kann es leicht passieren, dass wir zu Stubenhockern werden. Stundenlanges Sitzen vor dem Bildschirm und wenig Bewegung können langfristig zu gesundheitlichen Problemen führen. Doch keine Sorge! Es gibt zahlreiche sportliche Übungen, die speziell für Stubenhocker entwickelt wurden, um den Körper zu aktivieren und fit zu bleiben.</v>
      </c>
      <c r="L8" s="160"/>
      <c r="M8" s="160"/>
      <c r="N8" s="160"/>
      <c r="O8" s="160"/>
      <c r="P8" s="161"/>
    </row>
    <row r="9" spans="1:18" x14ac:dyDescent="0.25">
      <c r="B9" s="79"/>
      <c r="C9" s="79"/>
      <c r="D9" s="79"/>
      <c r="E9" s="79"/>
      <c r="F9" s="79"/>
      <c r="G9" s="79"/>
      <c r="H9" s="79"/>
      <c r="K9" s="162"/>
      <c r="L9" s="87"/>
      <c r="M9" s="87"/>
      <c r="N9" s="87"/>
      <c r="O9" s="87"/>
      <c r="P9" s="163"/>
    </row>
    <row r="10" spans="1:18" x14ac:dyDescent="0.25">
      <c r="K10" s="162"/>
      <c r="L10" s="87"/>
      <c r="M10" s="87"/>
      <c r="N10" s="87"/>
      <c r="O10" s="87"/>
      <c r="P10" s="163"/>
    </row>
    <row r="11" spans="1:18" x14ac:dyDescent="0.25">
      <c r="A11" s="79" t="str">
        <f>IF(Start!K7="English","Personal data",IF(Start!K7="Español","Datos personales","Persönliche Daten"))</f>
        <v>Persönliche Daten</v>
      </c>
      <c r="B11" s="79"/>
      <c r="C11" s="79"/>
      <c r="D11" s="79"/>
      <c r="E11" s="79"/>
      <c r="F11" s="79"/>
      <c r="G11" s="79"/>
      <c r="H11" s="79"/>
      <c r="I11" s="79"/>
      <c r="K11" s="162"/>
      <c r="L11" s="87"/>
      <c r="M11" s="87"/>
      <c r="N11" s="87"/>
      <c r="O11" s="87"/>
      <c r="P11" s="163"/>
    </row>
    <row r="12" spans="1:18" x14ac:dyDescent="0.25">
      <c r="A12" s="79"/>
      <c r="B12" s="79"/>
      <c r="C12" s="79"/>
      <c r="D12" s="79"/>
      <c r="E12" s="79"/>
      <c r="F12" s="79"/>
      <c r="G12" s="79"/>
      <c r="H12" s="79"/>
      <c r="I12" s="79"/>
      <c r="K12" s="162"/>
      <c r="L12" s="87"/>
      <c r="M12" s="87"/>
      <c r="N12" s="87"/>
      <c r="O12" s="87"/>
      <c r="P12" s="163"/>
    </row>
    <row r="13" spans="1:18" x14ac:dyDescent="0.25">
      <c r="K13" s="164"/>
      <c r="L13" s="165"/>
      <c r="M13" s="165"/>
      <c r="N13" s="165"/>
      <c r="O13" s="165"/>
      <c r="P13" s="166"/>
    </row>
    <row r="14" spans="1:18" x14ac:dyDescent="0.25">
      <c r="A14" s="79" t="str">
        <f>IF(Start!K7="English","Weight table",IF(Start!K7="Español","Tabla de pesos","Gewichtstabelle"))</f>
        <v>Gewichtstabelle</v>
      </c>
      <c r="B14" s="79"/>
      <c r="C14" s="79"/>
      <c r="D14" s="79"/>
      <c r="E14" s="79"/>
      <c r="F14" s="79"/>
      <c r="G14" s="79"/>
      <c r="H14" s="79"/>
      <c r="I14" s="79"/>
    </row>
    <row r="15" spans="1:18" x14ac:dyDescent="0.25">
      <c r="A15" s="79"/>
      <c r="B15" s="79"/>
      <c r="C15" s="79"/>
      <c r="D15" s="79"/>
      <c r="E15" s="79"/>
      <c r="F15" s="79"/>
      <c r="G15" s="79"/>
      <c r="H15" s="79"/>
      <c r="I15" s="79"/>
      <c r="M15" s="26"/>
      <c r="N15" s="3"/>
    </row>
    <row r="17" spans="1:18" x14ac:dyDescent="0.25">
      <c r="A17" s="79" t="str">
        <f>IF(Start!K7="English","Weight target",IF(Start!K7="Español","Objetivo de peso","Gewichts-Ziel"))</f>
        <v>Gewichts-Ziel</v>
      </c>
      <c r="B17" s="79"/>
      <c r="C17" s="79"/>
      <c r="D17" s="79"/>
      <c r="E17" s="79"/>
      <c r="F17" s="79"/>
      <c r="G17" s="79"/>
      <c r="H17" s="79"/>
      <c r="I17" s="79"/>
      <c r="M17" s="27"/>
      <c r="N17" s="8"/>
    </row>
    <row r="18" spans="1:18" x14ac:dyDescent="0.25">
      <c r="A18" s="79"/>
      <c r="B18" s="79"/>
      <c r="C18" s="79"/>
      <c r="D18" s="79"/>
      <c r="E18" s="79"/>
      <c r="F18" s="79"/>
      <c r="G18" s="79"/>
      <c r="H18" s="79"/>
      <c r="I18" s="79"/>
    </row>
    <row r="19" spans="1:18" x14ac:dyDescent="0.25">
      <c r="K19" s="157" t="str">
        <f>IF(Start!K7="English","Take the dog for a walk",IF(Start!K7="Español","Pasear al perro","Einen Spaziergang mit dem Hund machen"))</f>
        <v>Einen Spaziergang mit dem Hund machen</v>
      </c>
      <c r="L19" s="157"/>
      <c r="M19" s="27"/>
      <c r="N19" s="158" t="str">
        <f>IF(Start!K7="English","Steps",IF(Start!K7="Español","Pasos","Schritte"))</f>
        <v>Schritte</v>
      </c>
      <c r="O19" s="158"/>
      <c r="Q19" s="158" t="str">
        <f>IF(Start!K7="English","Stair climbing",IF(Start!K7="Español","Subir escaleras","Treppensteigen"))</f>
        <v>Treppensteigen</v>
      </c>
      <c r="R19" s="158"/>
    </row>
    <row r="20" spans="1:18" x14ac:dyDescent="0.25">
      <c r="A20" s="79" t="str">
        <f>IF(Start!K7="English","Fitness",IF(Start!K7="Español","Fitness","Fitness"))</f>
        <v>Fitness</v>
      </c>
      <c r="B20" s="84"/>
      <c r="C20" s="84"/>
      <c r="D20" s="84"/>
      <c r="E20" s="84"/>
      <c r="F20" s="84"/>
      <c r="G20" s="84"/>
      <c r="H20" s="84"/>
      <c r="I20" s="84"/>
      <c r="K20" s="157"/>
      <c r="L20" s="157"/>
      <c r="N20" s="158"/>
      <c r="O20" s="158"/>
      <c r="Q20" s="158"/>
      <c r="R20" s="158"/>
    </row>
    <row r="21" spans="1:18" x14ac:dyDescent="0.25">
      <c r="A21" s="84"/>
      <c r="B21" s="84"/>
      <c r="C21" s="84"/>
      <c r="D21" s="84"/>
      <c r="E21" s="84"/>
      <c r="F21" s="84"/>
      <c r="G21" s="84"/>
      <c r="H21" s="84"/>
      <c r="I21" s="84"/>
      <c r="M21" s="28"/>
    </row>
    <row r="22" spans="1:18" x14ac:dyDescent="0.25">
      <c r="N22" t="s">
        <v>0</v>
      </c>
    </row>
    <row r="23" spans="1:18" ht="15" customHeight="1" x14ac:dyDescent="0.25">
      <c r="A23" s="79" t="str">
        <f>IF(Start!K7="English","Overview",IF(Start!K7="Español","Visión general","Übersicht"))</f>
        <v>Übersicht</v>
      </c>
      <c r="B23" s="84"/>
      <c r="C23" s="84"/>
      <c r="D23" s="84"/>
      <c r="E23" s="84"/>
      <c r="F23" s="84"/>
      <c r="G23" s="84"/>
      <c r="H23" s="84"/>
      <c r="I23" s="84"/>
      <c r="J23" s="9"/>
      <c r="K23" s="9"/>
      <c r="L23" s="9"/>
      <c r="M23" s="9"/>
      <c r="N23" s="9"/>
      <c r="O23" s="9"/>
      <c r="P23" s="9"/>
      <c r="Q23" s="9"/>
    </row>
    <row r="24" spans="1:18" ht="15" customHeight="1" x14ac:dyDescent="0.25">
      <c r="A24" s="84"/>
      <c r="B24" s="84"/>
      <c r="C24" s="84"/>
      <c r="D24" s="84"/>
      <c r="E24" s="84"/>
      <c r="F24" s="84"/>
      <c r="G24" s="84"/>
      <c r="H24" s="84"/>
      <c r="I24" s="84"/>
      <c r="J24" s="29"/>
      <c r="K24" s="29"/>
      <c r="L24" s="29"/>
      <c r="M24" s="29"/>
      <c r="N24" s="29"/>
      <c r="O24" s="29"/>
      <c r="P24" s="29"/>
      <c r="Q24" s="29"/>
    </row>
    <row r="25" spans="1:18" x14ac:dyDescent="0.25">
      <c r="E25" s="29"/>
      <c r="F25" s="29"/>
      <c r="G25" s="29"/>
      <c r="H25" s="29"/>
      <c r="I25" s="29"/>
      <c r="J25" s="29"/>
      <c r="K25" s="29"/>
      <c r="L25" s="29"/>
      <c r="M25" s="29"/>
      <c r="N25" s="29"/>
      <c r="O25" s="29"/>
      <c r="P25" s="29"/>
      <c r="Q25" s="29"/>
    </row>
    <row r="26" spans="1:18" x14ac:dyDescent="0.25">
      <c r="J26" s="29"/>
      <c r="K26" s="29"/>
      <c r="L26" s="29"/>
      <c r="M26" s="29"/>
      <c r="N26" s="29"/>
      <c r="O26" s="29"/>
      <c r="P26" s="29"/>
      <c r="Q26" s="29"/>
    </row>
    <row r="27" spans="1:18" x14ac:dyDescent="0.25">
      <c r="J27" s="29"/>
      <c r="K27" s="157" t="str">
        <f>IF(Start!K7="English","Squats",IF(Start!K7="Español","Sentadillas","Kniebeugen"))</f>
        <v>Kniebeugen</v>
      </c>
      <c r="L27" s="140"/>
      <c r="M27" s="29"/>
      <c r="N27" s="157" t="str">
        <f>IF(Start!K7="English","Push-ups",IF(Start!K7="Español","Flexiones","Liegestützen"))</f>
        <v>Liegestützen</v>
      </c>
      <c r="O27" s="140"/>
      <c r="P27" s="29"/>
      <c r="Q27" s="157" t="str">
        <f>IF(Start!K7="English","Sit-ups",IF(Start!K7="Español","Abdominales","Rumpfbeugen"))</f>
        <v>Rumpfbeugen</v>
      </c>
      <c r="R27" s="157"/>
    </row>
    <row r="28" spans="1:18" x14ac:dyDescent="0.25">
      <c r="E28" s="29"/>
      <c r="F28" s="29"/>
      <c r="G28" s="29"/>
      <c r="H28" s="29"/>
      <c r="I28" s="29"/>
      <c r="J28" s="29"/>
      <c r="K28" s="140"/>
      <c r="L28" s="140"/>
      <c r="M28" s="29"/>
      <c r="N28" s="140"/>
      <c r="O28" s="140"/>
      <c r="P28" s="29"/>
      <c r="Q28" s="157"/>
      <c r="R28" s="157"/>
    </row>
    <row r="29" spans="1:18" x14ac:dyDescent="0.25">
      <c r="A29" s="85"/>
      <c r="B29" s="85"/>
      <c r="C29" s="85"/>
      <c r="D29" s="85"/>
      <c r="E29" s="85"/>
      <c r="F29" s="85"/>
      <c r="G29" s="85"/>
      <c r="H29" s="85"/>
      <c r="I29" s="85"/>
      <c r="J29" s="29"/>
      <c r="K29" s="29"/>
      <c r="L29" s="29"/>
      <c r="M29" s="29"/>
      <c r="N29" s="29"/>
      <c r="O29" s="29"/>
      <c r="P29" s="29"/>
      <c r="Q29" s="29"/>
    </row>
    <row r="30" spans="1:18" x14ac:dyDescent="0.25">
      <c r="A30" s="85"/>
      <c r="B30" s="85"/>
      <c r="C30" s="85"/>
      <c r="D30" s="85"/>
      <c r="E30" s="85"/>
      <c r="F30" s="85"/>
      <c r="G30" s="85"/>
      <c r="H30" s="85"/>
      <c r="I30" s="85"/>
      <c r="J30" s="29"/>
      <c r="K30" s="29"/>
      <c r="L30" s="29"/>
      <c r="M30" s="29"/>
      <c r="N30" s="29"/>
      <c r="O30" s="29"/>
      <c r="P30" s="29"/>
      <c r="Q30" s="29"/>
    </row>
    <row r="31" spans="1:18" x14ac:dyDescent="0.25">
      <c r="E31" s="29"/>
      <c r="F31" s="29"/>
      <c r="G31" s="29"/>
      <c r="H31" s="29"/>
      <c r="I31" s="29"/>
      <c r="J31" s="29"/>
      <c r="K31" s="29"/>
      <c r="L31" s="29"/>
      <c r="M31" s="29"/>
      <c r="N31" s="29"/>
      <c r="O31" s="29"/>
      <c r="P31" s="29"/>
      <c r="Q31" s="29"/>
    </row>
    <row r="32" spans="1:18" x14ac:dyDescent="0.25">
      <c r="A32" s="85"/>
      <c r="B32" s="85"/>
      <c r="C32" s="85"/>
      <c r="D32" s="85"/>
      <c r="E32" s="85"/>
      <c r="F32" s="85"/>
      <c r="G32" s="85"/>
      <c r="H32" s="85"/>
      <c r="I32" s="85"/>
      <c r="J32" s="29"/>
      <c r="K32" s="29"/>
      <c r="L32" s="29"/>
      <c r="M32" s="29"/>
      <c r="N32" s="29"/>
      <c r="O32" s="29"/>
      <c r="P32" s="29"/>
      <c r="Q32" s="29"/>
    </row>
    <row r="33" spans="1:17" x14ac:dyDescent="0.25">
      <c r="A33" s="85"/>
      <c r="B33" s="85"/>
      <c r="C33" s="85"/>
      <c r="D33" s="85"/>
      <c r="E33" s="85"/>
      <c r="F33" s="85"/>
      <c r="G33" s="85"/>
      <c r="H33" s="85"/>
      <c r="I33" s="85"/>
      <c r="J33" s="29"/>
      <c r="K33" s="29"/>
      <c r="L33" s="29"/>
      <c r="M33" s="29"/>
      <c r="N33" s="29"/>
      <c r="O33" s="29"/>
      <c r="P33" s="29"/>
      <c r="Q33" s="29"/>
    </row>
    <row r="34" spans="1:17" x14ac:dyDescent="0.25">
      <c r="E34" s="29"/>
      <c r="F34" s="29"/>
      <c r="G34" s="29"/>
      <c r="H34" s="29"/>
      <c r="I34" s="29"/>
      <c r="J34" s="29"/>
      <c r="K34" s="29"/>
      <c r="L34" s="29"/>
      <c r="M34" s="29"/>
      <c r="N34" s="29"/>
      <c r="O34" s="29"/>
      <c r="P34" s="29"/>
      <c r="Q34" s="29"/>
    </row>
    <row r="35" spans="1:17" x14ac:dyDescent="0.25">
      <c r="A35" s="85"/>
      <c r="B35" s="85"/>
      <c r="C35" s="85"/>
      <c r="D35" s="85"/>
      <c r="E35" s="85"/>
      <c r="F35" s="85"/>
      <c r="G35" s="85"/>
      <c r="H35" s="85"/>
      <c r="I35" s="85"/>
      <c r="J35" s="29"/>
      <c r="K35" s="29"/>
      <c r="L35" s="29"/>
      <c r="M35" s="29"/>
      <c r="N35" s="29"/>
      <c r="O35" s="29"/>
      <c r="P35" s="29"/>
      <c r="Q35" s="29"/>
    </row>
    <row r="36" spans="1:17" x14ac:dyDescent="0.25">
      <c r="A36" s="85"/>
      <c r="B36" s="85"/>
      <c r="C36" s="85"/>
      <c r="D36" s="85"/>
      <c r="E36" s="85"/>
      <c r="F36" s="85"/>
      <c r="G36" s="85"/>
      <c r="H36" s="85"/>
      <c r="I36" s="85"/>
      <c r="J36" s="29"/>
      <c r="K36" s="29"/>
      <c r="L36" s="29"/>
      <c r="M36" s="29"/>
      <c r="N36" s="29"/>
      <c r="O36" s="29"/>
      <c r="P36" s="29"/>
      <c r="Q36" s="29"/>
    </row>
    <row r="37" spans="1:17" x14ac:dyDescent="0.25">
      <c r="E37" s="29"/>
      <c r="F37" s="29"/>
      <c r="G37" s="29"/>
      <c r="H37" s="29"/>
      <c r="I37" s="29"/>
      <c r="J37" s="29"/>
      <c r="K37" s="29"/>
      <c r="L37" s="29"/>
      <c r="M37" s="29"/>
      <c r="N37" s="29"/>
      <c r="O37" s="29"/>
      <c r="P37" s="29"/>
      <c r="Q37" s="29"/>
    </row>
    <row r="38" spans="1:17" x14ac:dyDescent="0.25">
      <c r="A38" s="85"/>
      <c r="B38" s="85"/>
      <c r="C38" s="85"/>
      <c r="D38" s="85"/>
      <c r="E38" s="85"/>
      <c r="F38" s="85"/>
      <c r="G38" s="85"/>
      <c r="H38" s="85"/>
      <c r="I38" s="85"/>
      <c r="J38" s="29"/>
      <c r="K38" s="29"/>
      <c r="L38" s="29"/>
      <c r="M38" s="29"/>
      <c r="N38" s="29"/>
      <c r="O38" s="29"/>
      <c r="P38" s="29"/>
      <c r="Q38" s="29"/>
    </row>
    <row r="39" spans="1:17" x14ac:dyDescent="0.25">
      <c r="A39" s="85"/>
      <c r="B39" s="85"/>
      <c r="C39" s="85"/>
      <c r="D39" s="85"/>
      <c r="E39" s="85"/>
      <c r="F39" s="85"/>
      <c r="G39" s="85"/>
      <c r="H39" s="85"/>
      <c r="I39" s="85"/>
      <c r="J39" s="29"/>
      <c r="K39" s="29"/>
      <c r="L39" s="29"/>
      <c r="M39" s="29"/>
      <c r="N39" s="29"/>
      <c r="O39" s="29"/>
      <c r="P39" s="29"/>
      <c r="Q39" s="29"/>
    </row>
    <row r="40" spans="1:17" x14ac:dyDescent="0.25">
      <c r="E40" s="29"/>
      <c r="F40" s="29"/>
      <c r="G40" s="29"/>
      <c r="H40" s="29"/>
      <c r="I40" s="29"/>
      <c r="J40" s="29"/>
      <c r="K40" s="29"/>
      <c r="L40" s="29"/>
      <c r="M40" s="29"/>
      <c r="N40" s="29"/>
      <c r="O40" s="29"/>
      <c r="P40" s="29"/>
      <c r="Q40" s="29"/>
    </row>
    <row r="41" spans="1:17" x14ac:dyDescent="0.25">
      <c r="E41" s="29"/>
      <c r="F41" s="29"/>
      <c r="G41" s="29"/>
      <c r="H41" s="29"/>
      <c r="I41" s="29"/>
      <c r="J41" s="29"/>
      <c r="K41" s="29"/>
      <c r="L41" s="29"/>
      <c r="M41" s="29"/>
      <c r="N41" s="29"/>
      <c r="O41" s="29"/>
      <c r="P41" s="29"/>
      <c r="Q41" s="29"/>
    </row>
    <row r="42" spans="1:17" x14ac:dyDescent="0.25">
      <c r="E42" s="10"/>
      <c r="F42" s="10"/>
      <c r="G42" s="10"/>
      <c r="H42" s="10"/>
      <c r="I42" s="10"/>
      <c r="J42" s="10"/>
      <c r="K42" s="10"/>
      <c r="L42" s="10"/>
      <c r="M42" s="10"/>
      <c r="N42" s="10"/>
      <c r="O42" s="10"/>
      <c r="P42" s="10"/>
      <c r="Q42" s="10"/>
    </row>
    <row r="43" spans="1:17" x14ac:dyDescent="0.25">
      <c r="E43" s="10"/>
      <c r="F43" s="10"/>
      <c r="G43" s="10"/>
      <c r="H43" s="10"/>
      <c r="I43" s="10"/>
      <c r="J43" s="10"/>
      <c r="K43" s="10"/>
      <c r="L43" s="10"/>
      <c r="M43" s="10"/>
      <c r="N43" s="10"/>
      <c r="O43" s="10"/>
      <c r="P43" s="10"/>
      <c r="Q43" s="10"/>
    </row>
  </sheetData>
  <mergeCells count="24">
    <mergeCell ref="Q19:R20"/>
    <mergeCell ref="A1:J3"/>
    <mergeCell ref="K1:P3"/>
    <mergeCell ref="Q1:Q2"/>
    <mergeCell ref="A4:J5"/>
    <mergeCell ref="K4:P5"/>
    <mergeCell ref="Q4:R4"/>
    <mergeCell ref="Q5:R5"/>
    <mergeCell ref="K8:P13"/>
    <mergeCell ref="K19:L20"/>
    <mergeCell ref="N19:O20"/>
    <mergeCell ref="B8:H9"/>
    <mergeCell ref="A11:I12"/>
    <mergeCell ref="Q27:R28"/>
    <mergeCell ref="A29:I30"/>
    <mergeCell ref="A23:I24"/>
    <mergeCell ref="N27:O28"/>
    <mergeCell ref="K27:L28"/>
    <mergeCell ref="A32:I33"/>
    <mergeCell ref="A35:I36"/>
    <mergeCell ref="A38:I39"/>
    <mergeCell ref="A14:I15"/>
    <mergeCell ref="A17:I18"/>
    <mergeCell ref="A20:I21"/>
  </mergeCells>
  <dataValidations count="11">
    <dataValidation type="whole" allowBlank="1" showInputMessage="1" showErrorMessage="1" errorTitle="Achtung, Sabotage-Akt" error="Die Daten im dunkelblauen Bereich aktualisieren sich von selbst und bedürfen keiner manuellen Korrektur._x000a_Aber danke, dass du es trotzdem versucht hast!" sqref="K4:P5" xr:uid="{88F70EE2-D92A-48C9-B33A-E2D3466751E2}">
      <formula1>2.0000021031015E+39</formula1>
      <formula2>2.0000021031015E+39</formula2>
    </dataValidation>
    <dataValidation type="whole" allowBlank="1" showInputMessage="1" showErrorMessage="1" errorTitle="Achtung, Sabotage-Akt" error="Die Daten aktualisieren sich von selbst und bedürfen keiner manuellen Nachbearbeitung._x000a_Aber danke, dass du es trotzdem versucht hast!" sqref="Q3" xr:uid="{772A1FE3-4B8C-4C6F-977D-7297CC2F157C}">
      <formula1>1.000000104506E+39</formula1>
      <formula2>1.000000104506E+39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5:R5" xr:uid="{9784805C-1CE2-4D4E-9260-D32D057C0623}">
      <formula1>4.0000050640321E+39</formula1>
      <formula2>4.0000050640321E+39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4:R4 A4:J5" xr:uid="{7B3569B3-BD13-4401-8D48-4CE7713517FB}">
      <formula1>1.0000101010101E+39</formula1>
      <formula2>1.0000101010101E+39</formula2>
    </dataValidation>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E37:I37 E25:I25 E28:I28 E31:I31 E40:I41 E34:I34 O29:O41 K29:K41 O23:O26 N29:N41 K23:K26 L29:L41 M23:M41 L23:L26 J23:J41 Q29:Q41 P23:P41 N23:N26 Q23:Q26" xr:uid="{8EC6E7BA-721B-48C3-BF61-D8BD2E363DFE}">
      <formula1>1.00001001001E+39</formula1>
      <formula2>1.00001001001E+39</formula2>
    </dataValidation>
    <dataValidation allowBlank="1" errorTitle="Achtung, Sabotage-Akt!" error="Zellen, die grün markiert sind, eignen sich nicht zur Dateneingabe. Hier sind Formeln hinterlegt, welche nicht zerstört werden dürfen. Danke für dein Verständnis!" promptTitle="Wichtige Info!" prompt="Du darfst hier nichts eingeben, es wird alles automatisch berechnet!" sqref="M21" xr:uid="{78E526D8-55CA-4D69-BA29-0110F0B77527}"/>
    <dataValidation allowBlank="1" error="Du musst schon deine Größe in Metern und Zentimetern eingeben, nicht nur in Zentimetern! Die Berechnung des Bodymaß-Index verlangt das metrische System, bitte keine Inch, Elle oder Fuß eingeben!" promptTitle="Wichtige Info!" prompt="Trage hier deine Körpergröße in Metern (m) und Zentimetern (cm) durch ein Komma voneinander getrennt ein._x000a_Beispielsweise so: 1,82" sqref="M17" xr:uid="{BB48CE45-9052-4838-9BAE-C9EF9CA6B6D6}"/>
    <dataValidation allowBlank="1" showErrorMessage="1" errorTitle="Achtung, fehlerhafte Eingabe!" error="Du musst schon ein real existierendes Datum eingeben. Vielleicht hast du dich auch nur vertippt oder die Umschalttaste gedrückt, sodass ein ':' statt ein '.' eingegeben wurde." promptTitle="Wichtige Info!" prompt="Gib hier dein Geburtsdatum ein, entweder in den Formaten:_x000a_Zum Beispiel so:_x000a_          05.04.2023_x000a_          5.4.23 _x000a_oder _x000a_          2023-04-05_x000a_jede dieser Eingaben hat zur Folge, dass das Datum so ausgegeben wird:_x000a_          05.04.2023" sqref="N15" xr:uid="{B017BE26-34D8-4AB3-9642-158045E74600}"/>
    <dataValidation allowBlank="1" showInputMessage="1" showErrorMessage="1" errorTitle="Achtung, fehlerhafte Eingabe!" error="Du musst schon ein real existierendes Datum eingeben. Vielleicht hast du dich auch nur vertippt oder die Umschalttaste gedrückt, sodass ein ':' statt ein '.' eingegeben wurde." promptTitle="Wichtige Info!" sqref="M15" xr:uid="{4E9C8BFF-208A-4792-A48D-CE04C489291E}"/>
    <dataValidation allowBlank="1" errorTitle="Achtung, fehlerhafte Eingabe!" error="Du musst schon dein richtiges Gewicht in kg eingeben! Mindestens 5 kg sind erforderlich, maximal jedoch 360 kg. " promptTitle="Wichtige Info!" prompt="Gib hier bitte dein Gewicht in kg an. Dieser Startwert dient als Berechnungsgrundlage für die programminterne Kalkulation. Dein Gewicht brauchst du nur einmal einzugeben, unter dem Button &quot;Gewichtstabelle&quot; aber täglich dein aktuelles Gewicht vermerken!" sqref="M19" xr:uid="{FA6C5BD1-FE64-44F3-B10A-23924882E9AD}"/>
    <dataValidation type="whole" allowBlank="1" showInputMessage="1" showErrorMessage="1" errorTitle="Achtung, Sabotage-Akt!" error="Du darfst die Button-Beschriftungen weder ergänzen, noch abändern oder gar löschen!" sqref="N19:O20 Q19:R20 K27:L28 K19:L20 N27:O28 Q27:R28" xr:uid="{02F0969D-2A5B-4435-AB0E-594FCA8F91FD}">
      <formula1>1.0001001000105E+39</formula1>
      <formula2>1.0001001000105E+39</formula2>
    </dataValidation>
  </dataValidation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54815-68A5-44DB-A80D-B8D88CC95C7F}">
  <dimension ref="A1:R43"/>
  <sheetViews>
    <sheetView topLeftCell="A8" zoomScaleNormal="100" workbookViewId="0">
      <selection activeCell="L27" sqref="L27"/>
    </sheetView>
  </sheetViews>
  <sheetFormatPr baseColWidth="10" defaultRowHeight="15" x14ac:dyDescent="0.25"/>
  <cols>
    <col min="1" max="10" width="2.85546875" customWidth="1"/>
    <col min="11" max="11" width="11.42578125" customWidth="1"/>
    <col min="13" max="13" width="12.7109375" customWidth="1"/>
    <col min="14" max="14" width="11.85546875" customWidth="1"/>
    <col min="15" max="15" width="12.42578125" customWidth="1"/>
    <col min="16" max="16" width="10.28515625" customWidth="1"/>
    <col min="19" max="19" width="1.42578125" customWidth="1"/>
  </cols>
  <sheetData>
    <row r="1" spans="1:18" ht="15" customHeight="1" x14ac:dyDescent="0.25">
      <c r="A1" s="85"/>
      <c r="B1" s="85"/>
      <c r="C1" s="85"/>
      <c r="D1" s="85"/>
      <c r="E1" s="85"/>
      <c r="F1" s="85"/>
      <c r="G1" s="85"/>
      <c r="H1" s="85"/>
      <c r="I1" s="85"/>
      <c r="J1" s="85"/>
      <c r="K1" s="116" t="str">
        <f>IF(Start!K7="English","Take the dog for a walk",IF(Start!K7="Español","Pasear al perro","Spaziergang mit dem Hund"))</f>
        <v>Spaziergang mit dem Hund</v>
      </c>
      <c r="L1" s="116"/>
      <c r="M1" s="116"/>
      <c r="N1" s="116"/>
      <c r="O1" s="116"/>
      <c r="P1" s="116"/>
      <c r="Q1" s="116"/>
    </row>
    <row r="2" spans="1:18" ht="15" customHeight="1" x14ac:dyDescent="0.25">
      <c r="A2" s="85"/>
      <c r="B2" s="85"/>
      <c r="C2" s="85"/>
      <c r="D2" s="85"/>
      <c r="E2" s="85"/>
      <c r="F2" s="85"/>
      <c r="G2" s="85"/>
      <c r="H2" s="85"/>
      <c r="I2" s="85"/>
      <c r="J2" s="85"/>
      <c r="K2" s="116"/>
      <c r="L2" s="116"/>
      <c r="M2" s="116"/>
      <c r="N2" s="116"/>
      <c r="O2" s="116"/>
      <c r="P2" s="116"/>
      <c r="Q2" s="116"/>
    </row>
    <row r="3" spans="1:18" x14ac:dyDescent="0.25">
      <c r="A3" s="85"/>
      <c r="B3" s="85"/>
      <c r="C3" s="85"/>
      <c r="D3" s="85"/>
      <c r="E3" s="85"/>
      <c r="F3" s="85"/>
      <c r="G3" s="85"/>
      <c r="H3" s="85"/>
      <c r="I3" s="85"/>
      <c r="J3" s="85"/>
      <c r="K3" s="116"/>
      <c r="L3" s="116"/>
      <c r="M3" s="116"/>
      <c r="N3" s="116"/>
      <c r="O3" s="116"/>
      <c r="P3" s="116"/>
      <c r="Q3" s="74"/>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8" spans="1:18" ht="15" customHeight="1" x14ac:dyDescent="0.25">
      <c r="B8" s="79" t="str">
        <f>IF(Start!K7="English","Start",IF(Start!K7="Español","Inicio","Start"))</f>
        <v>Start</v>
      </c>
      <c r="C8" s="79"/>
      <c r="D8" s="79"/>
      <c r="E8" s="79"/>
      <c r="F8" s="79"/>
      <c r="G8" s="79"/>
      <c r="H8" s="79"/>
      <c r="K8" s="171" t="str">
        <f>IF(Start!K7="English","Enter the times in hours that you spent walking with the dog."&amp;" An average speed of 4 km/h is used for further calculations.",IF(Start!K7="Español","Introduce los tiempos en horas que has pasado paseando al perro."&amp;" Para los cálculos posteriores se utiliza una velocidad media de 4 km/h.","Trage die Zeit in Stunden ein, die du mit dem Hund spazierengehend verbracht hast."&amp;" Es wird eine durchschnittliche Geschwindigkeit von 4 km/h für die weiteren Kalkulationen zugrunde gelegt."))</f>
        <v>Trage die Zeit in Stunden ein, die du mit dem Hund spazierengehend verbracht hast. Es wird eine durchschnittliche Geschwindigkeit von 4 km/h für die weiteren Kalkulationen zugrunde gelegt.</v>
      </c>
      <c r="L8" s="172"/>
      <c r="M8" s="172"/>
      <c r="N8" s="172"/>
      <c r="O8" s="172"/>
      <c r="P8" s="172"/>
      <c r="Q8" s="172"/>
      <c r="R8" s="173"/>
    </row>
    <row r="9" spans="1:18" x14ac:dyDescent="0.25">
      <c r="B9" s="79"/>
      <c r="C9" s="79"/>
      <c r="D9" s="79"/>
      <c r="E9" s="79"/>
      <c r="F9" s="79"/>
      <c r="G9" s="79"/>
      <c r="H9" s="79"/>
      <c r="K9" s="174"/>
      <c r="L9" s="175"/>
      <c r="M9" s="175"/>
      <c r="N9" s="175"/>
      <c r="O9" s="175"/>
      <c r="P9" s="175"/>
      <c r="Q9" s="175"/>
      <c r="R9" s="176"/>
    </row>
    <row r="11" spans="1:18" ht="15" customHeight="1" x14ac:dyDescent="0.25">
      <c r="A11" s="79" t="str">
        <f>IF(Start!K7="English","Fitness",IF(Start!K7="Español","Fitness","Fitness"))</f>
        <v>Fitness</v>
      </c>
      <c r="B11" s="84"/>
      <c r="C11" s="84"/>
      <c r="D11" s="84"/>
      <c r="E11" s="84"/>
      <c r="F11" s="84"/>
      <c r="G11" s="84"/>
      <c r="H11" s="84"/>
      <c r="I11" s="84"/>
      <c r="K11" s="183" t="str">
        <f>IF(Start!K7="English","Sunday",IF(Start!K7="Español","Domingo","Sonntag"))</f>
        <v>Sonntag</v>
      </c>
      <c r="L11" s="183" t="str">
        <f>IF(Start!K7="English","Monday",IF(Start!K7="Español","Lunes","Montag"))</f>
        <v>Montag</v>
      </c>
      <c r="M11" s="183" t="str">
        <f>IF(Start!K7="English","Tuesday",IF(Start!K7="Español","Martes","Dienstag"))</f>
        <v>Dienstag</v>
      </c>
      <c r="N11" s="183" t="str">
        <f>IF(Start!K7="English","Wednesday",IF(Start!K7="Español","Miércoles","Mittwoch"))</f>
        <v>Mittwoch</v>
      </c>
      <c r="O11" s="183" t="str">
        <f>IF(Start!K7="English","Thursday",IF(Start!K7="Español","Jueves","Donnerstag"))</f>
        <v>Donnerstag</v>
      </c>
      <c r="P11" s="183" t="str">
        <f>IF(Start!K7="English","Friday",IF(Start!K7="Español","Viernes","Freitag"))</f>
        <v>Freitag</v>
      </c>
      <c r="Q11" s="183" t="str">
        <f>IF(Start!K7="English","Saturday",IF(Start!K7="Español","Sábado","Samstag"))</f>
        <v>Samstag</v>
      </c>
      <c r="R11" s="184" t="str">
        <f>IF(Start!K7="English","Kilometer",IF(Start!K7="Español","Kilómetros","Kilometer"))</f>
        <v>Kilometer</v>
      </c>
    </row>
    <row r="12" spans="1:18" ht="15" customHeight="1" x14ac:dyDescent="0.25">
      <c r="A12" s="84"/>
      <c r="B12" s="84"/>
      <c r="C12" s="84"/>
      <c r="D12" s="84"/>
      <c r="E12" s="84"/>
      <c r="F12" s="84"/>
      <c r="G12" s="84"/>
      <c r="H12" s="84"/>
      <c r="I12" s="84"/>
      <c r="K12" s="183"/>
      <c r="L12" s="183"/>
      <c r="M12" s="183"/>
      <c r="N12" s="183"/>
      <c r="O12" s="183"/>
      <c r="P12" s="183"/>
      <c r="Q12" s="183"/>
      <c r="R12" s="184"/>
    </row>
    <row r="14" spans="1:18" x14ac:dyDescent="0.25">
      <c r="B14" s="185" t="str">
        <f>IF(Start!K7="English","In the morning",IF(Start!K7="Español","Por la mañana","Morgens"))</f>
        <v>Morgens</v>
      </c>
      <c r="C14" s="185"/>
      <c r="D14" s="185"/>
      <c r="E14" s="185"/>
      <c r="F14" s="185"/>
      <c r="G14" s="185"/>
      <c r="H14" s="185"/>
      <c r="I14" s="185"/>
      <c r="J14" s="185"/>
      <c r="K14" s="181"/>
      <c r="L14" s="181"/>
      <c r="M14" s="181"/>
      <c r="N14" s="181"/>
      <c r="O14" s="181"/>
      <c r="P14" s="181"/>
      <c r="Q14" s="181"/>
      <c r="R14" s="186">
        <f>4*(K14+L14+M14+N14+O14+P14+Q14)</f>
        <v>0</v>
      </c>
    </row>
    <row r="15" spans="1:18" x14ac:dyDescent="0.25">
      <c r="B15" s="185"/>
      <c r="C15" s="185"/>
      <c r="D15" s="185"/>
      <c r="E15" s="185"/>
      <c r="F15" s="185"/>
      <c r="G15" s="185"/>
      <c r="H15" s="185"/>
      <c r="I15" s="185"/>
      <c r="J15" s="185"/>
      <c r="K15" s="181"/>
      <c r="L15" s="181"/>
      <c r="M15" s="181"/>
      <c r="N15" s="181"/>
      <c r="O15" s="181"/>
      <c r="P15" s="181"/>
      <c r="Q15" s="181"/>
      <c r="R15" s="186"/>
    </row>
    <row r="16" spans="1:18" x14ac:dyDescent="0.25">
      <c r="B16" s="185" t="str">
        <f>IF(Start!K7="English","At noon",IF(Start!K7="Español","Mediodía","Mittags"))</f>
        <v>Mittags</v>
      </c>
      <c r="C16" s="185"/>
      <c r="D16" s="185"/>
      <c r="E16" s="185"/>
      <c r="F16" s="185"/>
      <c r="G16" s="185"/>
      <c r="H16" s="185"/>
      <c r="I16" s="185"/>
      <c r="J16" s="185"/>
      <c r="K16" s="177"/>
      <c r="L16" s="177"/>
      <c r="M16" s="177"/>
      <c r="N16" s="177"/>
      <c r="O16" s="177"/>
      <c r="P16" s="177"/>
      <c r="Q16" s="177"/>
      <c r="R16" s="179">
        <f t="shared" ref="R16" si="0">4*(K16+L16+M16+N16+O16+P16+Q16)</f>
        <v>0</v>
      </c>
    </row>
    <row r="17" spans="1:18" ht="15" customHeight="1" x14ac:dyDescent="0.25">
      <c r="B17" s="185"/>
      <c r="C17" s="185"/>
      <c r="D17" s="185"/>
      <c r="E17" s="185"/>
      <c r="F17" s="185"/>
      <c r="G17" s="185"/>
      <c r="H17" s="185"/>
      <c r="I17" s="185"/>
      <c r="J17" s="185"/>
      <c r="K17" s="178"/>
      <c r="L17" s="178"/>
      <c r="M17" s="178"/>
      <c r="N17" s="178"/>
      <c r="O17" s="178"/>
      <c r="P17" s="178"/>
      <c r="Q17" s="178"/>
      <c r="R17" s="180"/>
    </row>
    <row r="18" spans="1:18" ht="15" customHeight="1" x14ac:dyDescent="0.25">
      <c r="B18" s="185" t="str">
        <f>IF(Start!K7="English","Evening",IF(Start!K7="Español","Por la tarde","Abends"))</f>
        <v>Abends</v>
      </c>
      <c r="C18" s="185"/>
      <c r="D18" s="185"/>
      <c r="E18" s="185"/>
      <c r="F18" s="185"/>
      <c r="G18" s="185"/>
      <c r="H18" s="185"/>
      <c r="I18" s="185"/>
      <c r="J18" s="185"/>
      <c r="K18" s="167"/>
      <c r="L18" s="167"/>
      <c r="M18" s="167"/>
      <c r="N18" s="167"/>
      <c r="O18" s="167"/>
      <c r="P18" s="167"/>
      <c r="Q18" s="167"/>
      <c r="R18" s="169">
        <f t="shared" ref="R18" si="1">4*(K18+L18+M18+N18+O18+P18+Q18)</f>
        <v>0</v>
      </c>
    </row>
    <row r="19" spans="1:18" x14ac:dyDescent="0.25">
      <c r="B19" s="185"/>
      <c r="C19" s="185"/>
      <c r="D19" s="185"/>
      <c r="E19" s="185"/>
      <c r="F19" s="185"/>
      <c r="G19" s="185"/>
      <c r="H19" s="185"/>
      <c r="I19" s="185"/>
      <c r="J19" s="185"/>
      <c r="K19" s="168"/>
      <c r="L19" s="168"/>
      <c r="M19" s="168"/>
      <c r="N19" s="168"/>
      <c r="O19" s="168"/>
      <c r="P19" s="168"/>
      <c r="Q19" s="168"/>
      <c r="R19" s="170"/>
    </row>
    <row r="20" spans="1:18" x14ac:dyDescent="0.25">
      <c r="B20" s="185" t="str">
        <f>IF(Start!K7="English","Kilometer",IF(Start!K7="Español","Kilómetros","Kilometer"))</f>
        <v>Kilometer</v>
      </c>
      <c r="C20" s="185"/>
      <c r="D20" s="185"/>
      <c r="E20" s="185"/>
      <c r="F20" s="185"/>
      <c r="G20" s="185"/>
      <c r="H20" s="185"/>
      <c r="I20" s="185"/>
      <c r="J20" s="185"/>
      <c r="K20" s="179">
        <f>(K14+K16+K18)*4</f>
        <v>0</v>
      </c>
      <c r="L20" s="179">
        <f t="shared" ref="L20:Q20" si="2">(L14+L16+L18)*4</f>
        <v>0</v>
      </c>
      <c r="M20" s="179">
        <f t="shared" si="2"/>
        <v>0</v>
      </c>
      <c r="N20" s="179">
        <f t="shared" si="2"/>
        <v>0</v>
      </c>
      <c r="O20" s="179">
        <f t="shared" si="2"/>
        <v>0</v>
      </c>
      <c r="P20" s="179">
        <f t="shared" si="2"/>
        <v>0</v>
      </c>
      <c r="Q20" s="179">
        <f t="shared" si="2"/>
        <v>0</v>
      </c>
      <c r="R20" s="179">
        <f>(K20+L20+M20+N20+O20+P20+Q20)</f>
        <v>0</v>
      </c>
    </row>
    <row r="21" spans="1:18" ht="15.75" thickBot="1" x14ac:dyDescent="0.3">
      <c r="B21" s="185"/>
      <c r="C21" s="185"/>
      <c r="D21" s="185"/>
      <c r="E21" s="185"/>
      <c r="F21" s="185"/>
      <c r="G21" s="185"/>
      <c r="H21" s="185"/>
      <c r="I21" s="185"/>
      <c r="J21" s="185"/>
      <c r="K21" s="182"/>
      <c r="L21" s="182"/>
      <c r="M21" s="182"/>
      <c r="N21" s="182"/>
      <c r="O21" s="182"/>
      <c r="P21" s="182"/>
      <c r="Q21" s="182"/>
      <c r="R21" s="182"/>
    </row>
    <row r="22" spans="1:18" ht="15.75" thickTop="1" x14ac:dyDescent="0.25">
      <c r="N22" t="s">
        <v>0</v>
      </c>
    </row>
    <row r="23" spans="1:18" ht="15" customHeight="1" x14ac:dyDescent="0.25">
      <c r="A23" s="79"/>
      <c r="B23" s="84"/>
      <c r="C23" s="84"/>
      <c r="D23" s="84"/>
      <c r="E23" s="84"/>
      <c r="F23" s="84"/>
      <c r="G23" s="84"/>
      <c r="H23" s="84"/>
      <c r="I23" s="84"/>
      <c r="J23" s="9"/>
      <c r="K23" s="9"/>
      <c r="L23" s="9"/>
      <c r="M23" s="9"/>
      <c r="N23" s="9"/>
      <c r="O23" s="9"/>
      <c r="P23" s="9"/>
      <c r="Q23" s="9"/>
    </row>
    <row r="24" spans="1:18" ht="15" customHeight="1" x14ac:dyDescent="0.25">
      <c r="A24" s="84"/>
      <c r="B24" s="84"/>
      <c r="C24" s="84"/>
      <c r="D24" s="84"/>
      <c r="E24" s="84"/>
      <c r="F24" s="84"/>
      <c r="G24" s="84"/>
      <c r="H24" s="84"/>
      <c r="I24" s="84"/>
      <c r="J24" s="29"/>
      <c r="K24" s="29"/>
      <c r="L24" s="29"/>
      <c r="M24" s="29"/>
      <c r="N24" s="29"/>
      <c r="O24" s="29"/>
      <c r="P24" s="29"/>
      <c r="Q24" s="29"/>
    </row>
    <row r="25" spans="1:18" x14ac:dyDescent="0.25">
      <c r="E25" s="29"/>
      <c r="F25" s="29"/>
      <c r="G25" s="29"/>
      <c r="H25" s="29"/>
      <c r="I25" s="29"/>
      <c r="J25" s="29"/>
      <c r="K25" s="29"/>
      <c r="L25" s="29"/>
      <c r="M25" s="29"/>
      <c r="N25" s="29"/>
      <c r="O25" s="29"/>
      <c r="P25" s="29"/>
      <c r="Q25" s="29"/>
    </row>
    <row r="26" spans="1:18" x14ac:dyDescent="0.25">
      <c r="J26" s="29"/>
      <c r="K26" s="29"/>
      <c r="L26" s="29"/>
      <c r="M26" s="29"/>
      <c r="N26" s="29"/>
      <c r="O26" s="29"/>
      <c r="P26" s="29"/>
      <c r="Q26" s="29"/>
    </row>
    <row r="27" spans="1:18" x14ac:dyDescent="0.25">
      <c r="J27" s="29"/>
      <c r="K27" s="29"/>
      <c r="L27" s="29"/>
      <c r="M27" s="29"/>
      <c r="N27" s="29"/>
      <c r="O27" s="29"/>
      <c r="P27" s="29"/>
      <c r="Q27" s="29"/>
    </row>
    <row r="28" spans="1:18" x14ac:dyDescent="0.25">
      <c r="E28" s="29"/>
      <c r="F28" s="29"/>
      <c r="G28" s="29"/>
      <c r="H28" s="29"/>
      <c r="I28" s="29"/>
      <c r="J28" s="29"/>
      <c r="K28" s="29"/>
      <c r="L28" s="29"/>
      <c r="M28" s="29"/>
      <c r="N28" s="29"/>
      <c r="O28" s="29"/>
      <c r="P28" s="29"/>
      <c r="Q28" s="29"/>
    </row>
    <row r="29" spans="1:18" x14ac:dyDescent="0.25">
      <c r="A29" s="85"/>
      <c r="B29" s="85"/>
      <c r="C29" s="85"/>
      <c r="D29" s="85"/>
      <c r="E29" s="85"/>
      <c r="F29" s="85"/>
      <c r="G29" s="85"/>
      <c r="H29" s="85"/>
      <c r="I29" s="85"/>
      <c r="J29" s="29"/>
      <c r="K29" s="29"/>
      <c r="L29" s="29"/>
      <c r="M29" s="29"/>
      <c r="N29" s="29"/>
      <c r="O29" s="29"/>
      <c r="P29" s="29"/>
      <c r="Q29" s="29"/>
    </row>
    <row r="30" spans="1:18" x14ac:dyDescent="0.25">
      <c r="A30" s="85"/>
      <c r="B30" s="85"/>
      <c r="C30" s="85"/>
      <c r="D30" s="85"/>
      <c r="E30" s="85"/>
      <c r="F30" s="85"/>
      <c r="G30" s="85"/>
      <c r="H30" s="85"/>
      <c r="I30" s="85"/>
      <c r="J30" s="29"/>
      <c r="K30" s="29"/>
      <c r="L30" s="29"/>
      <c r="M30" s="29"/>
      <c r="N30" s="29"/>
      <c r="O30" s="29"/>
      <c r="P30" s="29"/>
      <c r="Q30" s="29"/>
    </row>
    <row r="31" spans="1:18" x14ac:dyDescent="0.25">
      <c r="E31" s="29"/>
      <c r="F31" s="29"/>
      <c r="G31" s="29"/>
      <c r="H31" s="29"/>
      <c r="I31" s="29"/>
      <c r="J31" s="29"/>
      <c r="K31" s="29"/>
      <c r="L31" s="29"/>
      <c r="M31" s="29"/>
      <c r="N31" s="29"/>
      <c r="O31" s="29"/>
      <c r="P31" s="29"/>
      <c r="Q31" s="29"/>
    </row>
    <row r="32" spans="1:18" x14ac:dyDescent="0.25">
      <c r="A32" s="85"/>
      <c r="B32" s="85"/>
      <c r="C32" s="85"/>
      <c r="D32" s="85"/>
      <c r="E32" s="85"/>
      <c r="F32" s="85"/>
      <c r="G32" s="85"/>
      <c r="H32" s="85"/>
      <c r="I32" s="85"/>
      <c r="J32" s="29"/>
      <c r="K32" s="29"/>
      <c r="L32" s="29"/>
      <c r="M32" s="29"/>
      <c r="N32" s="29"/>
      <c r="O32" s="29"/>
      <c r="P32" s="29"/>
      <c r="Q32" s="29"/>
    </row>
    <row r="33" spans="1:17" x14ac:dyDescent="0.25">
      <c r="A33" s="85"/>
      <c r="B33" s="85"/>
      <c r="C33" s="85"/>
      <c r="D33" s="85"/>
      <c r="E33" s="85"/>
      <c r="F33" s="85"/>
      <c r="G33" s="85"/>
      <c r="H33" s="85"/>
      <c r="I33" s="85"/>
      <c r="J33" s="29"/>
      <c r="K33" s="29"/>
      <c r="L33" s="29"/>
      <c r="M33" s="29"/>
      <c r="N33" s="29"/>
      <c r="O33" s="29"/>
      <c r="P33" s="29"/>
      <c r="Q33" s="29"/>
    </row>
    <row r="34" spans="1:17" x14ac:dyDescent="0.25">
      <c r="E34" s="29"/>
      <c r="F34" s="29"/>
      <c r="G34" s="29"/>
      <c r="H34" s="29"/>
      <c r="I34" s="29"/>
      <c r="J34" s="29"/>
      <c r="K34" s="29"/>
      <c r="L34" s="29"/>
      <c r="M34" s="29"/>
      <c r="N34" s="29"/>
      <c r="O34" s="29"/>
      <c r="P34" s="29"/>
      <c r="Q34" s="29"/>
    </row>
    <row r="35" spans="1:17" x14ac:dyDescent="0.25">
      <c r="A35" s="85"/>
      <c r="B35" s="85"/>
      <c r="C35" s="85"/>
      <c r="D35" s="85"/>
      <c r="E35" s="85"/>
      <c r="F35" s="85"/>
      <c r="G35" s="85"/>
      <c r="H35" s="85"/>
      <c r="I35" s="85"/>
      <c r="J35" s="29"/>
      <c r="K35" s="29"/>
      <c r="L35" s="29"/>
      <c r="M35" s="29"/>
      <c r="N35" s="29"/>
      <c r="O35" s="29"/>
      <c r="P35" s="29"/>
      <c r="Q35" s="29"/>
    </row>
    <row r="36" spans="1:17" x14ac:dyDescent="0.25">
      <c r="A36" s="85"/>
      <c r="B36" s="85"/>
      <c r="C36" s="85"/>
      <c r="D36" s="85"/>
      <c r="E36" s="85"/>
      <c r="F36" s="85"/>
      <c r="G36" s="85"/>
      <c r="H36" s="85"/>
      <c r="I36" s="85"/>
      <c r="J36" s="29"/>
      <c r="K36" s="29"/>
      <c r="L36" s="29"/>
      <c r="M36" s="29"/>
      <c r="N36" s="29"/>
      <c r="O36" s="29"/>
      <c r="P36" s="29"/>
      <c r="Q36" s="29"/>
    </row>
    <row r="37" spans="1:17" x14ac:dyDescent="0.25">
      <c r="E37" s="29"/>
      <c r="F37" s="29"/>
      <c r="G37" s="29"/>
      <c r="H37" s="29"/>
      <c r="I37" s="29"/>
      <c r="J37" s="29"/>
      <c r="K37" s="29"/>
      <c r="L37" s="29"/>
      <c r="M37" s="29"/>
      <c r="N37" s="29"/>
      <c r="O37" s="29"/>
      <c r="P37" s="29"/>
      <c r="Q37" s="29"/>
    </row>
    <row r="38" spans="1:17" x14ac:dyDescent="0.25">
      <c r="A38" s="85"/>
      <c r="B38" s="85"/>
      <c r="C38" s="85"/>
      <c r="D38" s="85"/>
      <c r="E38" s="85"/>
      <c r="F38" s="85"/>
      <c r="G38" s="85"/>
      <c r="H38" s="85"/>
      <c r="I38" s="85"/>
      <c r="J38" s="29"/>
      <c r="K38" s="29"/>
      <c r="L38" s="29"/>
      <c r="M38" s="29"/>
      <c r="N38" s="29"/>
      <c r="O38" s="29"/>
      <c r="P38" s="29"/>
      <c r="Q38" s="29"/>
    </row>
    <row r="39" spans="1:17" x14ac:dyDescent="0.25">
      <c r="A39" s="85"/>
      <c r="B39" s="85"/>
      <c r="C39" s="85"/>
      <c r="D39" s="85"/>
      <c r="E39" s="85"/>
      <c r="F39" s="85"/>
      <c r="G39" s="85"/>
      <c r="H39" s="85"/>
      <c r="I39" s="85"/>
      <c r="J39" s="29"/>
      <c r="K39" s="29"/>
      <c r="L39" s="29"/>
      <c r="M39" s="29"/>
      <c r="N39" s="29"/>
      <c r="O39" s="29"/>
      <c r="P39" s="29"/>
      <c r="Q39" s="29"/>
    </row>
    <row r="40" spans="1:17" x14ac:dyDescent="0.25">
      <c r="E40" s="29"/>
      <c r="F40" s="29"/>
      <c r="G40" s="29"/>
      <c r="H40" s="29"/>
      <c r="I40" s="29"/>
      <c r="J40" s="29"/>
      <c r="K40" s="29"/>
      <c r="L40" s="29"/>
      <c r="M40" s="29"/>
      <c r="N40" s="29"/>
      <c r="O40" s="29"/>
      <c r="P40" s="29"/>
      <c r="Q40" s="29"/>
    </row>
    <row r="41" spans="1:17" x14ac:dyDescent="0.25">
      <c r="E41" s="29"/>
      <c r="F41" s="29"/>
      <c r="G41" s="29"/>
      <c r="H41" s="29"/>
      <c r="I41" s="29"/>
      <c r="J41" s="29"/>
      <c r="K41" s="29"/>
      <c r="L41" s="29"/>
      <c r="M41" s="29"/>
      <c r="N41" s="29"/>
      <c r="O41" s="29"/>
      <c r="P41" s="29"/>
      <c r="Q41" s="29"/>
    </row>
    <row r="42" spans="1:17" x14ac:dyDescent="0.25">
      <c r="E42" s="10"/>
      <c r="F42" s="10"/>
      <c r="G42" s="10"/>
      <c r="H42" s="10"/>
      <c r="I42" s="10"/>
      <c r="J42" s="10"/>
      <c r="K42" s="10"/>
      <c r="L42" s="10"/>
      <c r="M42" s="10"/>
      <c r="N42" s="10"/>
      <c r="O42" s="10"/>
      <c r="P42" s="10"/>
      <c r="Q42" s="10"/>
    </row>
    <row r="43" spans="1:17" x14ac:dyDescent="0.25">
      <c r="E43" s="10"/>
      <c r="F43" s="10"/>
      <c r="G43" s="10"/>
      <c r="H43" s="10"/>
      <c r="I43" s="10"/>
      <c r="J43" s="10"/>
      <c r="K43" s="10"/>
      <c r="L43" s="10"/>
      <c r="M43" s="10"/>
      <c r="N43" s="10"/>
      <c r="O43" s="10"/>
      <c r="P43" s="10"/>
      <c r="Q43" s="10"/>
    </row>
  </sheetData>
  <mergeCells count="59">
    <mergeCell ref="K1:P3"/>
    <mergeCell ref="Q1:Q2"/>
    <mergeCell ref="A4:J5"/>
    <mergeCell ref="K4:P5"/>
    <mergeCell ref="Q4:R4"/>
    <mergeCell ref="Q5:R5"/>
    <mergeCell ref="B8:H9"/>
    <mergeCell ref="B14:J15"/>
    <mergeCell ref="A11:I12"/>
    <mergeCell ref="A23:I24"/>
    <mergeCell ref="A1:J3"/>
    <mergeCell ref="B20:J21"/>
    <mergeCell ref="R11:R12"/>
    <mergeCell ref="A29:I30"/>
    <mergeCell ref="A32:I33"/>
    <mergeCell ref="A35:I36"/>
    <mergeCell ref="A38:I39"/>
    <mergeCell ref="K11:K12"/>
    <mergeCell ref="L11:L12"/>
    <mergeCell ref="B16:J17"/>
    <mergeCell ref="B18:J19"/>
    <mergeCell ref="L18:L19"/>
    <mergeCell ref="K16:K17"/>
    <mergeCell ref="R14:R15"/>
    <mergeCell ref="L16:L17"/>
    <mergeCell ref="M16:M17"/>
    <mergeCell ref="N16:N17"/>
    <mergeCell ref="O16:O17"/>
    <mergeCell ref="P14:P15"/>
    <mergeCell ref="Q14:Q15"/>
    <mergeCell ref="M11:M12"/>
    <mergeCell ref="N11:N12"/>
    <mergeCell ref="O11:O12"/>
    <mergeCell ref="P11:P12"/>
    <mergeCell ref="Q11:Q12"/>
    <mergeCell ref="R20:R21"/>
    <mergeCell ref="K20:K21"/>
    <mergeCell ref="L20:L21"/>
    <mergeCell ref="M20:M21"/>
    <mergeCell ref="N20:N21"/>
    <mergeCell ref="O20:O21"/>
    <mergeCell ref="P20:P21"/>
    <mergeCell ref="Q20:Q21"/>
    <mergeCell ref="P18:P19"/>
    <mergeCell ref="Q18:Q19"/>
    <mergeCell ref="R18:R19"/>
    <mergeCell ref="K8:R9"/>
    <mergeCell ref="P16:P17"/>
    <mergeCell ref="Q16:Q17"/>
    <mergeCell ref="R16:R17"/>
    <mergeCell ref="K18:K19"/>
    <mergeCell ref="M18:M19"/>
    <mergeCell ref="N18:N19"/>
    <mergeCell ref="O18:O19"/>
    <mergeCell ref="K14:K15"/>
    <mergeCell ref="L14:L15"/>
    <mergeCell ref="M14:M15"/>
    <mergeCell ref="N14:N15"/>
    <mergeCell ref="O14:O15"/>
  </mergeCells>
  <dataValidations xWindow="525" yWindow="469" count="8">
    <dataValidation type="whole" allowBlank="1" showInputMessage="1" showErrorMessage="1" errorTitle="Achtung, Sabotage-Akt" error="Die Daten im dunkelblauen Bereich aktualisieren sich von selbst und bedürfen keiner manuellen Korrektur._x000a_Aber danke, dass du es trotzdem versucht hast!" sqref="K4:P5" xr:uid="{A18FF19D-CABB-4A42-8D47-33BCFE6641E3}">
      <formula1>2.0000021031015E+39</formula1>
      <formula2>2.0000021031015E+39</formula2>
    </dataValidation>
    <dataValidation type="whole" allowBlank="1" showInputMessage="1" showErrorMessage="1" errorTitle="Achtung, Sabotage-Akt" error="Die Daten aktualisieren sich von selbst und bedürfen keiner manuellen Nachbearbeitung._x000a_Aber danke, dass du es trotzdem versucht hast!" sqref="Q3" xr:uid="{23E78409-0D8C-413F-AA73-0A125F3D25FF}">
      <formula1>1.000000104506E+39</formula1>
      <formula2>1.000000104506E+39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5:R5" xr:uid="{F65C7F6D-BBFF-44B9-94C9-0A74A358BB59}">
      <formula1>4.0000050640321E+39</formula1>
      <formula2>4.0000050640321E+39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4:R4 A4:J5" xr:uid="{3B48871F-66AA-4F44-A43D-128AAE7EB2A3}">
      <formula1>1.0000101010101E+39</formula1>
      <formula2>1.0000101010101E+39</formula2>
    </dataValidation>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J23:Q41 E25:I25 E28:I28 E31:I31 E40:I41 E34:I34 E37:I37" xr:uid="{4A2A6310-F06F-4336-B075-DC392217A467}">
      <formula1>1.00001001001E+39</formula1>
      <formula2>1.00001001001E+39</formula2>
    </dataValidation>
    <dataValidation type="whole" allowBlank="1" showInputMessage="1" showErrorMessage="1" errorTitle="Achtung, Sabotage-Akt" error="Die Daten aktualisieren sich von selbst und bedürfen keiner manuellen Nachbearbeitung._x000a_Aber danke, dass du es trotzdem versucht hast!" sqref="L11:R12 K11:K12 B14:J15 B16:J17 B18:J19 B20:J21" xr:uid="{DD4F3B4F-FA18-458A-8EBB-30CB51D663BB}">
      <formula1>1.00004564054032E+39</formula1>
      <formula2>1.00004564054032E+39</formula2>
    </dataValidation>
    <dataValidation type="whole" allowBlank="1" showInputMessage="1" showErrorMessage="1" errorTitle="Achtung, kein Eingabefeld!" error="Die Daten im hellgrünen Bereich sind besonders geschützt, weil hier komplizierte Formeln hinterlegt sind!" sqref="R14:R21 Q20:Q21 P20:P21 O20:O21 N20:N21 M20:M21 L20:L21 K20:K21" xr:uid="{B43874A0-2723-4047-B895-064A3D0B86DC}">
      <formula1>6.0008079870654E+39</formula1>
      <formula2>6.0008079870654E+39</formula2>
    </dataValidation>
    <dataValidation type="decimal" allowBlank="1" showInputMessage="1" showErrorMessage="1" promptTitle="Eingabehilfe" prompt="Trage hier bitte deine Anzahl von Stunden ein, die du gelaufen bist._x000a_Bruchteile einer Stunde werden in dezimaler Schreibweise notiert:_x000a_Beispielsweise 0,5 für eine halbe Stunde. _x000a_" sqref="K14:Q19" xr:uid="{2FF257F6-3843-40C4-B4E7-F52FE3F3C297}">
      <formula1>0</formula1>
      <formula2>23.75</formula2>
    </dataValidation>
  </dataValidations>
  <pageMargins left="0.7" right="0.7" top="0.78740157499999996" bottom="0.78740157499999996"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6D9F-283D-41F4-A7CB-AE13D844C704}">
  <dimension ref="A1:R43"/>
  <sheetViews>
    <sheetView topLeftCell="A7" zoomScaleNormal="100" workbookViewId="0">
      <selection activeCell="M18" sqref="M18:M19"/>
    </sheetView>
  </sheetViews>
  <sheetFormatPr baseColWidth="10" defaultRowHeight="15" x14ac:dyDescent="0.25"/>
  <cols>
    <col min="1" max="10" width="2.85546875" customWidth="1"/>
    <col min="11" max="11" width="11.42578125" customWidth="1"/>
    <col min="13" max="13" width="12.7109375" customWidth="1"/>
    <col min="14" max="14" width="11.85546875" customWidth="1"/>
    <col min="15" max="15" width="12.42578125" customWidth="1"/>
    <col min="16" max="16" width="10.28515625" customWidth="1"/>
    <col min="19" max="19" width="1.42578125" customWidth="1"/>
  </cols>
  <sheetData>
    <row r="1" spans="1:18" ht="15" customHeight="1" x14ac:dyDescent="0.25">
      <c r="A1" s="85"/>
      <c r="B1" s="85"/>
      <c r="C1" s="85"/>
      <c r="D1" s="85"/>
      <c r="E1" s="85"/>
      <c r="F1" s="85"/>
      <c r="G1" s="85"/>
      <c r="H1" s="85"/>
      <c r="I1" s="85"/>
      <c r="J1" s="85"/>
      <c r="K1" s="116" t="str">
        <f>IF(Start!K7="English","10,000 Steps",IF(Start!K7="Español","10.000 pasos","10.000 Schritte"))</f>
        <v>10.000 Schritte</v>
      </c>
      <c r="L1" s="116"/>
      <c r="M1" s="116"/>
      <c r="N1" s="116"/>
      <c r="O1" s="116"/>
      <c r="P1" s="116"/>
      <c r="Q1" s="116"/>
    </row>
    <row r="2" spans="1:18" ht="15" customHeight="1" x14ac:dyDescent="0.25">
      <c r="A2" s="85"/>
      <c r="B2" s="85"/>
      <c r="C2" s="85"/>
      <c r="D2" s="85"/>
      <c r="E2" s="85"/>
      <c r="F2" s="85"/>
      <c r="G2" s="85"/>
      <c r="H2" s="85"/>
      <c r="I2" s="85"/>
      <c r="J2" s="85"/>
      <c r="K2" s="116"/>
      <c r="L2" s="116"/>
      <c r="M2" s="116"/>
      <c r="N2" s="116"/>
      <c r="O2" s="116"/>
      <c r="P2" s="116"/>
      <c r="Q2" s="116"/>
    </row>
    <row r="3" spans="1:18" x14ac:dyDescent="0.25">
      <c r="A3" s="85"/>
      <c r="B3" s="85"/>
      <c r="C3" s="85"/>
      <c r="D3" s="85"/>
      <c r="E3" s="85"/>
      <c r="F3" s="85"/>
      <c r="G3" s="85"/>
      <c r="H3" s="85"/>
      <c r="I3" s="85"/>
      <c r="J3" s="85"/>
      <c r="K3" s="116"/>
      <c r="L3" s="116"/>
      <c r="M3" s="116"/>
      <c r="N3" s="116"/>
      <c r="O3" s="116"/>
      <c r="P3" s="116"/>
      <c r="Q3" s="74"/>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8" spans="1:18" ht="15" customHeight="1" x14ac:dyDescent="0.25">
      <c r="B8" s="79" t="str">
        <f>IF(Start!K7="English","Start",IF(Start!K7="Español","Inicio","Start"))</f>
        <v>Start</v>
      </c>
      <c r="C8" s="79"/>
      <c r="D8" s="79"/>
      <c r="E8" s="79"/>
      <c r="F8" s="79"/>
      <c r="G8" s="79"/>
      <c r="H8" s="79"/>
      <c r="K8" s="171" t="str">
        <f>IF(Start!K7="English","Enter the steps you have measured with the pedometer on your smartphone."&amp;" It should already be 10,000 steps per day!",IF(Start!K7="Español","Introduce los pasos que has medido con el podómetro de tu smartphone."&amp;" ¡Ya deberían ser 10.000 pasos al día!","Trage hier die Schritte ein, die du mit dem Schrittzähler auf deinem Smartphone gemessen hast."&amp;" Es sollten schon 10.000 Schritte pro Tag sein."))</f>
        <v>Trage hier die Schritte ein, die du mit dem Schrittzähler auf deinem Smartphone gemessen hast. Es sollten schon 10.000 Schritte pro Tag sein.</v>
      </c>
      <c r="L8" s="172"/>
      <c r="M8" s="172"/>
      <c r="N8" s="172"/>
      <c r="O8" s="172"/>
      <c r="P8" s="172"/>
      <c r="Q8" s="172"/>
      <c r="R8" s="173"/>
    </row>
    <row r="9" spans="1:18" x14ac:dyDescent="0.25">
      <c r="B9" s="79"/>
      <c r="C9" s="79"/>
      <c r="D9" s="79"/>
      <c r="E9" s="79"/>
      <c r="F9" s="79"/>
      <c r="G9" s="79"/>
      <c r="H9" s="79"/>
      <c r="K9" s="174"/>
      <c r="L9" s="175"/>
      <c r="M9" s="175"/>
      <c r="N9" s="175"/>
      <c r="O9" s="175"/>
      <c r="P9" s="175"/>
      <c r="Q9" s="175"/>
      <c r="R9" s="176"/>
    </row>
    <row r="11" spans="1:18" ht="15" customHeight="1" x14ac:dyDescent="0.25">
      <c r="A11" s="79" t="str">
        <f>IF(Start!K7="English","Fitness",IF(Start!K7="Español","Fitness","Fitness"))</f>
        <v>Fitness</v>
      </c>
      <c r="B11" s="84"/>
      <c r="C11" s="84"/>
      <c r="D11" s="84"/>
      <c r="E11" s="84"/>
      <c r="F11" s="84"/>
      <c r="G11" s="84"/>
      <c r="H11" s="84"/>
      <c r="I11" s="84"/>
      <c r="K11" s="183" t="str">
        <f>IF(Start!K7="English","Sunday",IF(Start!K7="Español","Domingo","Sonntag"))</f>
        <v>Sonntag</v>
      </c>
      <c r="L11" s="183" t="str">
        <f>IF(Start!K7="English","Monday",IF(Start!K7="Español","Lunes","Montag"))</f>
        <v>Montag</v>
      </c>
      <c r="M11" s="183" t="str">
        <f>IF(Start!K7="English","Tuesday",IF(Start!K7="Español","Martes","Dienstag"))</f>
        <v>Dienstag</v>
      </c>
      <c r="N11" s="183" t="str">
        <f>IF(Start!K7="English","Wednesday",IF(Start!K7="Español","Miércoles","Mittwoch"))</f>
        <v>Mittwoch</v>
      </c>
      <c r="O11" s="183" t="str">
        <f>IF(Start!K7="English","Thursday",IF(Start!K7="Español","Jueves","Donnerstag"))</f>
        <v>Donnerstag</v>
      </c>
      <c r="P11" s="183" t="str">
        <f>IF(Start!K7="English","Friday",IF(Start!K7="Español","Viernes","Freitag"))</f>
        <v>Freitag</v>
      </c>
      <c r="Q11" s="183" t="str">
        <f>IF(Start!K7="English","Saturday",IF(Start!K7="Español","Sábado","Samstag"))</f>
        <v>Samstag</v>
      </c>
      <c r="R11" s="184" t="str">
        <f>IF(Start!K7="English","Average",IF(Start!K7="Español","Media","Durchschnitt"))</f>
        <v>Durchschnitt</v>
      </c>
    </row>
    <row r="12" spans="1:18" ht="15" customHeight="1" x14ac:dyDescent="0.25">
      <c r="A12" s="84"/>
      <c r="B12" s="84"/>
      <c r="C12" s="84"/>
      <c r="D12" s="84"/>
      <c r="E12" s="84"/>
      <c r="F12" s="84"/>
      <c r="G12" s="84"/>
      <c r="H12" s="84"/>
      <c r="I12" s="84"/>
      <c r="K12" s="183"/>
      <c r="L12" s="183"/>
      <c r="M12" s="183"/>
      <c r="N12" s="183"/>
      <c r="O12" s="183"/>
      <c r="P12" s="183"/>
      <c r="Q12" s="183"/>
      <c r="R12" s="184"/>
    </row>
    <row r="14" spans="1:18" x14ac:dyDescent="0.25">
      <c r="B14" s="185" t="str">
        <f>IF(Start!K7="English","Directive",IF(Start!K7="Español","Directiva","Richtlinie"))</f>
        <v>Richtlinie</v>
      </c>
      <c r="C14" s="185"/>
      <c r="D14" s="185"/>
      <c r="E14" s="185"/>
      <c r="F14" s="185"/>
      <c r="G14" s="185"/>
      <c r="H14" s="185"/>
      <c r="I14" s="185"/>
      <c r="J14" s="185"/>
      <c r="K14" s="187" t="str">
        <f>IF(Start!K7="English","10000",IF(Start!K7="Español","10.000","10.000"))</f>
        <v>10.000</v>
      </c>
      <c r="L14" s="187" t="str">
        <f>IF(Start!K7="English","10000",IF(Start!K7="Español","10.000","10.000"))</f>
        <v>10.000</v>
      </c>
      <c r="M14" s="187" t="str">
        <f>IF(Start!K7="English","10000",IF(Start!K7="Español","10.000","10.000"))</f>
        <v>10.000</v>
      </c>
      <c r="N14" s="187" t="str">
        <f>IF(Start!K7="English","10000",IF(Start!K7="Español","10.000","10.000"))</f>
        <v>10.000</v>
      </c>
      <c r="O14" s="187" t="str">
        <f>IF(Start!K7="English","10000",IF(Start!K7="Español","10.000","10.000"))</f>
        <v>10.000</v>
      </c>
      <c r="P14" s="187" t="str">
        <f>IF(Start!K7="English","10000",IF(Start!K7="Español","10.000","10.000"))</f>
        <v>10.000</v>
      </c>
      <c r="Q14" s="187" t="str">
        <f>IF(Start!K7="English","10000",IF(Start!K7="Español","10.000","10.000"))</f>
        <v>10.000</v>
      </c>
      <c r="R14" s="187" t="str">
        <f>IF(Start!K7="English","10000",IF(Start!K7="Español","10.000","10.000"))</f>
        <v>10.000</v>
      </c>
    </row>
    <row r="15" spans="1:18" x14ac:dyDescent="0.25">
      <c r="B15" s="185"/>
      <c r="C15" s="185"/>
      <c r="D15" s="185"/>
      <c r="E15" s="185"/>
      <c r="F15" s="185"/>
      <c r="G15" s="185"/>
      <c r="H15" s="185"/>
      <c r="I15" s="185"/>
      <c r="J15" s="185"/>
      <c r="K15" s="187"/>
      <c r="L15" s="187"/>
      <c r="M15" s="187"/>
      <c r="N15" s="187"/>
      <c r="O15" s="187"/>
      <c r="P15" s="187"/>
      <c r="Q15" s="187"/>
      <c r="R15" s="187"/>
    </row>
    <row r="16" spans="1:18" ht="15" customHeight="1" x14ac:dyDescent="0.25">
      <c r="B16" s="185" t="str">
        <f>IF(Start!K7="English","Steps taken",IF(Start!K7="Español","Pasos dados","Ermittelte Schritte"))</f>
        <v>Ermittelte Schritte</v>
      </c>
      <c r="C16" s="185"/>
      <c r="D16" s="185"/>
      <c r="E16" s="185"/>
      <c r="F16" s="185"/>
      <c r="G16" s="185"/>
      <c r="H16" s="185"/>
      <c r="I16" s="185"/>
      <c r="J16" s="185"/>
      <c r="K16" s="188"/>
      <c r="L16" s="188"/>
      <c r="M16" s="188"/>
      <c r="N16" s="188"/>
      <c r="O16" s="188"/>
      <c r="P16" s="188"/>
      <c r="Q16" s="188"/>
      <c r="R16" s="190">
        <f>ROUNDUP((K16+L16+M16+N16+O16+P16+Q16)/7,0)</f>
        <v>0</v>
      </c>
    </row>
    <row r="17" spans="1:18" ht="15" customHeight="1" x14ac:dyDescent="0.25">
      <c r="B17" s="185"/>
      <c r="C17" s="185"/>
      <c r="D17" s="185"/>
      <c r="E17" s="185"/>
      <c r="F17" s="185"/>
      <c r="G17" s="185"/>
      <c r="H17" s="185"/>
      <c r="I17" s="185"/>
      <c r="J17" s="185"/>
      <c r="K17" s="189"/>
      <c r="L17" s="189"/>
      <c r="M17" s="189"/>
      <c r="N17" s="189"/>
      <c r="O17" s="189"/>
      <c r="P17" s="189"/>
      <c r="Q17" s="189"/>
      <c r="R17" s="191"/>
    </row>
    <row r="18" spans="1:18" ht="15" customHeight="1" x14ac:dyDescent="0.25">
      <c r="B18" s="185" t="str">
        <f>IF(Start!K7="English","Percentage",IF(Start!K7="Español","Porcentaje","Prozentual"))</f>
        <v>Prozentual</v>
      </c>
      <c r="C18" s="185"/>
      <c r="D18" s="185"/>
      <c r="E18" s="185"/>
      <c r="F18" s="185"/>
      <c r="G18" s="185"/>
      <c r="H18" s="185"/>
      <c r="I18" s="185"/>
      <c r="J18" s="185"/>
      <c r="K18" s="192" t="str">
        <f>ROUNDDOWN(100*K16/K14,2)&amp;" %"</f>
        <v>0 %</v>
      </c>
      <c r="L18" s="192" t="str">
        <f>ROUNDDOWN(100*L16/L14,2)&amp;" %"</f>
        <v>0 %</v>
      </c>
      <c r="M18" s="192" t="str">
        <f t="shared" ref="M18:Q18" si="0">ROUNDDOWN(100*M16/M14,2)&amp;" %"</f>
        <v>0 %</v>
      </c>
      <c r="N18" s="192" t="str">
        <f t="shared" si="0"/>
        <v>0 %</v>
      </c>
      <c r="O18" s="192" t="str">
        <f t="shared" si="0"/>
        <v>0 %</v>
      </c>
      <c r="P18" s="192" t="str">
        <f t="shared" si="0"/>
        <v>0 %</v>
      </c>
      <c r="Q18" s="192" t="str">
        <f t="shared" si="0"/>
        <v>0 %</v>
      </c>
      <c r="R18" s="192" t="str">
        <f>ROUNDDOWN(100*R16/R14,2)&amp;" %"</f>
        <v>0 %</v>
      </c>
    </row>
    <row r="19" spans="1:18" ht="15.75" thickBot="1" x14ac:dyDescent="0.3">
      <c r="B19" s="185"/>
      <c r="C19" s="185"/>
      <c r="D19" s="185"/>
      <c r="E19" s="185"/>
      <c r="F19" s="185"/>
      <c r="G19" s="185"/>
      <c r="H19" s="185"/>
      <c r="I19" s="185"/>
      <c r="J19" s="185"/>
      <c r="K19" s="193"/>
      <c r="L19" s="193"/>
      <c r="M19" s="193"/>
      <c r="N19" s="193"/>
      <c r="O19" s="193"/>
      <c r="P19" s="193"/>
      <c r="Q19" s="193"/>
      <c r="R19" s="193"/>
    </row>
    <row r="20" spans="1:18" ht="15.75" thickTop="1" x14ac:dyDescent="0.25">
      <c r="B20" s="185"/>
      <c r="C20" s="185"/>
      <c r="D20" s="185"/>
      <c r="E20" s="185"/>
      <c r="F20" s="185"/>
      <c r="G20" s="185"/>
      <c r="H20" s="185"/>
      <c r="I20" s="185"/>
      <c r="J20" s="185"/>
    </row>
    <row r="21" spans="1:18" x14ac:dyDescent="0.25">
      <c r="B21" s="185"/>
      <c r="C21" s="185"/>
      <c r="D21" s="185"/>
      <c r="E21" s="185"/>
      <c r="F21" s="185"/>
      <c r="G21" s="185"/>
      <c r="H21" s="185"/>
      <c r="I21" s="185"/>
      <c r="J21" s="185"/>
    </row>
    <row r="22" spans="1:18" x14ac:dyDescent="0.25">
      <c r="N22" t="s">
        <v>0</v>
      </c>
    </row>
    <row r="23" spans="1:18" ht="15" customHeight="1" x14ac:dyDescent="0.25">
      <c r="A23" s="79"/>
      <c r="B23" s="84"/>
      <c r="C23" s="84"/>
      <c r="D23" s="84"/>
      <c r="E23" s="84"/>
      <c r="F23" s="84"/>
      <c r="G23" s="84"/>
      <c r="H23" s="84"/>
      <c r="I23" s="84"/>
      <c r="J23" s="9"/>
      <c r="K23" s="9"/>
      <c r="L23" s="9"/>
      <c r="M23" s="9"/>
      <c r="N23" s="9"/>
      <c r="O23" s="9"/>
      <c r="P23" s="9"/>
      <c r="Q23" s="9"/>
    </row>
    <row r="24" spans="1:18" ht="15" customHeight="1" x14ac:dyDescent="0.25">
      <c r="A24" s="84"/>
      <c r="B24" s="84"/>
      <c r="C24" s="84"/>
      <c r="D24" s="84"/>
      <c r="E24" s="84"/>
      <c r="F24" s="84"/>
      <c r="G24" s="84"/>
      <c r="H24" s="84"/>
      <c r="I24" s="84"/>
      <c r="J24" s="29"/>
      <c r="K24" s="29"/>
      <c r="L24" s="29"/>
      <c r="M24" s="29"/>
      <c r="N24" s="29"/>
      <c r="O24" s="29"/>
      <c r="P24" s="29"/>
      <c r="Q24" s="29"/>
    </row>
    <row r="25" spans="1:18" x14ac:dyDescent="0.25">
      <c r="E25" s="29"/>
      <c r="F25" s="29"/>
      <c r="G25" s="29"/>
      <c r="H25" s="29"/>
      <c r="I25" s="29"/>
      <c r="J25" s="29"/>
      <c r="K25" s="29"/>
      <c r="L25" s="29"/>
      <c r="M25" s="29"/>
      <c r="N25" s="29"/>
      <c r="O25" s="29"/>
      <c r="P25" s="29"/>
      <c r="Q25" s="29"/>
    </row>
    <row r="26" spans="1:18" x14ac:dyDescent="0.25">
      <c r="J26" s="29"/>
      <c r="K26" s="29"/>
      <c r="L26" s="29"/>
      <c r="M26" s="29"/>
      <c r="N26" s="29"/>
      <c r="O26" s="29"/>
      <c r="P26" s="29"/>
      <c r="Q26" s="29"/>
    </row>
    <row r="27" spans="1:18" x14ac:dyDescent="0.25">
      <c r="J27" s="29"/>
      <c r="K27" s="29"/>
      <c r="L27" s="29"/>
      <c r="M27" s="29"/>
      <c r="N27" s="29"/>
      <c r="O27" s="29"/>
      <c r="P27" s="29"/>
      <c r="Q27" s="29"/>
    </row>
    <row r="28" spans="1:18" x14ac:dyDescent="0.25">
      <c r="E28" s="29"/>
      <c r="F28" s="29"/>
      <c r="G28" s="29"/>
      <c r="H28" s="29"/>
      <c r="I28" s="29"/>
      <c r="J28" s="29"/>
      <c r="K28" s="29"/>
      <c r="L28" s="29"/>
      <c r="M28" s="29"/>
      <c r="N28" s="29"/>
      <c r="O28" s="29"/>
      <c r="P28" s="29"/>
      <c r="Q28" s="29"/>
    </row>
    <row r="29" spans="1:18" x14ac:dyDescent="0.25">
      <c r="A29" s="85"/>
      <c r="B29" s="85"/>
      <c r="C29" s="85"/>
      <c r="D29" s="85"/>
      <c r="E29" s="85"/>
      <c r="F29" s="85"/>
      <c r="G29" s="85"/>
      <c r="H29" s="85"/>
      <c r="I29" s="85"/>
      <c r="J29" s="29"/>
      <c r="K29" s="29"/>
      <c r="L29" s="29"/>
      <c r="M29" s="29"/>
      <c r="N29" s="29"/>
      <c r="O29" s="29"/>
      <c r="P29" s="29"/>
      <c r="Q29" s="29"/>
    </row>
    <row r="30" spans="1:18" x14ac:dyDescent="0.25">
      <c r="A30" s="85"/>
      <c r="B30" s="85"/>
      <c r="C30" s="85"/>
      <c r="D30" s="85"/>
      <c r="E30" s="85"/>
      <c r="F30" s="85"/>
      <c r="G30" s="85"/>
      <c r="H30" s="85"/>
      <c r="I30" s="85"/>
      <c r="J30" s="29"/>
      <c r="K30" s="29"/>
      <c r="L30" s="29"/>
      <c r="M30" s="29"/>
      <c r="N30" s="29"/>
      <c r="O30" s="29"/>
      <c r="P30" s="29"/>
      <c r="Q30" s="29"/>
    </row>
    <row r="31" spans="1:18" x14ac:dyDescent="0.25">
      <c r="E31" s="29"/>
      <c r="F31" s="29"/>
      <c r="G31" s="29"/>
      <c r="H31" s="29"/>
      <c r="I31" s="29"/>
      <c r="J31" s="29"/>
      <c r="K31" s="29"/>
      <c r="L31" s="29"/>
      <c r="M31" s="29"/>
      <c r="N31" s="29"/>
      <c r="O31" s="29"/>
      <c r="P31" s="29"/>
      <c r="Q31" s="29"/>
    </row>
    <row r="32" spans="1:18" x14ac:dyDescent="0.25">
      <c r="A32" s="85"/>
      <c r="B32" s="85"/>
      <c r="C32" s="85"/>
      <c r="D32" s="85"/>
      <c r="E32" s="85"/>
      <c r="F32" s="85"/>
      <c r="G32" s="85"/>
      <c r="H32" s="85"/>
      <c r="I32" s="85"/>
      <c r="J32" s="29"/>
      <c r="K32" s="29"/>
      <c r="L32" s="29"/>
      <c r="M32" s="29"/>
      <c r="N32" s="29"/>
      <c r="O32" s="29"/>
      <c r="P32" s="29"/>
      <c r="Q32" s="29"/>
    </row>
    <row r="33" spans="1:17" x14ac:dyDescent="0.25">
      <c r="A33" s="85"/>
      <c r="B33" s="85"/>
      <c r="C33" s="85"/>
      <c r="D33" s="85"/>
      <c r="E33" s="85"/>
      <c r="F33" s="85"/>
      <c r="G33" s="85"/>
      <c r="H33" s="85"/>
      <c r="I33" s="85"/>
      <c r="J33" s="29"/>
      <c r="K33" s="29"/>
      <c r="L33" s="29"/>
      <c r="M33" s="29"/>
      <c r="N33" s="29"/>
      <c r="O33" s="29"/>
      <c r="P33" s="29"/>
      <c r="Q33" s="29"/>
    </row>
    <row r="34" spans="1:17" x14ac:dyDescent="0.25">
      <c r="E34" s="29"/>
      <c r="F34" s="29"/>
      <c r="G34" s="29"/>
      <c r="H34" s="29"/>
      <c r="I34" s="29"/>
      <c r="J34" s="29"/>
      <c r="K34" s="29"/>
      <c r="L34" s="29"/>
      <c r="M34" s="29"/>
      <c r="N34" s="29"/>
      <c r="O34" s="29"/>
      <c r="P34" s="29"/>
      <c r="Q34" s="29"/>
    </row>
    <row r="35" spans="1:17" x14ac:dyDescent="0.25">
      <c r="A35" s="85"/>
      <c r="B35" s="85"/>
      <c r="C35" s="85"/>
      <c r="D35" s="85"/>
      <c r="E35" s="85"/>
      <c r="F35" s="85"/>
      <c r="G35" s="85"/>
      <c r="H35" s="85"/>
      <c r="I35" s="85"/>
      <c r="J35" s="29"/>
      <c r="K35" s="29"/>
      <c r="L35" s="29"/>
      <c r="M35" s="29"/>
      <c r="N35" s="29"/>
      <c r="O35" s="29"/>
      <c r="P35" s="29"/>
      <c r="Q35" s="29"/>
    </row>
    <row r="36" spans="1:17" x14ac:dyDescent="0.25">
      <c r="A36" s="85"/>
      <c r="B36" s="85"/>
      <c r="C36" s="85"/>
      <c r="D36" s="85"/>
      <c r="E36" s="85"/>
      <c r="F36" s="85"/>
      <c r="G36" s="85"/>
      <c r="H36" s="85"/>
      <c r="I36" s="85"/>
      <c r="J36" s="29"/>
      <c r="K36" s="29"/>
      <c r="L36" s="29"/>
      <c r="M36" s="29"/>
      <c r="N36" s="29"/>
      <c r="O36" s="29"/>
      <c r="P36" s="29"/>
      <c r="Q36" s="29"/>
    </row>
    <row r="37" spans="1:17" x14ac:dyDescent="0.25">
      <c r="E37" s="29"/>
      <c r="F37" s="29"/>
      <c r="G37" s="29"/>
      <c r="H37" s="29"/>
      <c r="I37" s="29"/>
      <c r="J37" s="29"/>
      <c r="K37" s="29"/>
      <c r="L37" s="29"/>
      <c r="M37" s="29"/>
      <c r="N37" s="29"/>
      <c r="O37" s="29"/>
      <c r="P37" s="29"/>
      <c r="Q37" s="29"/>
    </row>
    <row r="38" spans="1:17" x14ac:dyDescent="0.25">
      <c r="A38" s="85"/>
      <c r="B38" s="85"/>
      <c r="C38" s="85"/>
      <c r="D38" s="85"/>
      <c r="E38" s="85"/>
      <c r="F38" s="85"/>
      <c r="G38" s="85"/>
      <c r="H38" s="85"/>
      <c r="I38" s="85"/>
      <c r="J38" s="29"/>
      <c r="K38" s="29"/>
      <c r="L38" s="29"/>
      <c r="M38" s="29"/>
      <c r="N38" s="29"/>
      <c r="O38" s="29"/>
      <c r="P38" s="29"/>
      <c r="Q38" s="29"/>
    </row>
    <row r="39" spans="1:17" x14ac:dyDescent="0.25">
      <c r="A39" s="85"/>
      <c r="B39" s="85"/>
      <c r="C39" s="85"/>
      <c r="D39" s="85"/>
      <c r="E39" s="85"/>
      <c r="F39" s="85"/>
      <c r="G39" s="85"/>
      <c r="H39" s="85"/>
      <c r="I39" s="85"/>
      <c r="J39" s="29"/>
      <c r="K39" s="29"/>
      <c r="L39" s="29"/>
      <c r="M39" s="29"/>
      <c r="N39" s="29"/>
      <c r="O39" s="29"/>
      <c r="P39" s="29"/>
      <c r="Q39" s="29"/>
    </row>
    <row r="40" spans="1:17" x14ac:dyDescent="0.25">
      <c r="E40" s="29"/>
      <c r="F40" s="29"/>
      <c r="G40" s="29"/>
      <c r="H40" s="29"/>
      <c r="I40" s="29"/>
      <c r="J40" s="29"/>
      <c r="K40" s="29"/>
      <c r="L40" s="29"/>
      <c r="M40" s="29"/>
      <c r="N40" s="29"/>
      <c r="O40" s="29"/>
      <c r="P40" s="29"/>
      <c r="Q40" s="29"/>
    </row>
    <row r="41" spans="1:17" x14ac:dyDescent="0.25">
      <c r="E41" s="29"/>
      <c r="F41" s="29"/>
      <c r="G41" s="29"/>
      <c r="H41" s="29"/>
      <c r="I41" s="29"/>
      <c r="J41" s="29"/>
      <c r="K41" s="29"/>
      <c r="L41" s="29"/>
      <c r="M41" s="29"/>
      <c r="N41" s="29"/>
      <c r="O41" s="29"/>
      <c r="P41" s="29"/>
      <c r="Q41" s="29"/>
    </row>
    <row r="42" spans="1:17" x14ac:dyDescent="0.25">
      <c r="E42" s="10"/>
      <c r="F42" s="10"/>
      <c r="G42" s="10"/>
      <c r="H42" s="10"/>
      <c r="I42" s="10"/>
      <c r="J42" s="10"/>
      <c r="K42" s="10"/>
      <c r="L42" s="10"/>
      <c r="M42" s="10"/>
      <c r="N42" s="10"/>
      <c r="O42" s="10"/>
      <c r="P42" s="10"/>
      <c r="Q42" s="10"/>
    </row>
    <row r="43" spans="1:17" x14ac:dyDescent="0.25">
      <c r="E43" s="10"/>
      <c r="F43" s="10"/>
      <c r="G43" s="10"/>
      <c r="H43" s="10"/>
      <c r="I43" s="10"/>
      <c r="J43" s="10"/>
      <c r="K43" s="10"/>
      <c r="L43" s="10"/>
      <c r="M43" s="10"/>
      <c r="N43" s="10"/>
      <c r="O43" s="10"/>
      <c r="P43" s="10"/>
      <c r="Q43" s="10"/>
    </row>
  </sheetData>
  <mergeCells count="51">
    <mergeCell ref="A38:I39"/>
    <mergeCell ref="Q18:Q19"/>
    <mergeCell ref="B20:J21"/>
    <mergeCell ref="K18:K19"/>
    <mergeCell ref="R18:R19"/>
    <mergeCell ref="A23:I24"/>
    <mergeCell ref="A29:I30"/>
    <mergeCell ref="A32:I33"/>
    <mergeCell ref="A35:I36"/>
    <mergeCell ref="P18:P19"/>
    <mergeCell ref="B18:J19"/>
    <mergeCell ref="L18:L19"/>
    <mergeCell ref="M18:M19"/>
    <mergeCell ref="N18:N19"/>
    <mergeCell ref="O18:O19"/>
    <mergeCell ref="B16:J17"/>
    <mergeCell ref="K16:K17"/>
    <mergeCell ref="L16:L17"/>
    <mergeCell ref="M16:M17"/>
    <mergeCell ref="N16:N17"/>
    <mergeCell ref="O14:O15"/>
    <mergeCell ref="P14:P15"/>
    <mergeCell ref="Q14:Q15"/>
    <mergeCell ref="R14:R15"/>
    <mergeCell ref="P16:P17"/>
    <mergeCell ref="Q16:Q17"/>
    <mergeCell ref="R16:R17"/>
    <mergeCell ref="O16:O17"/>
    <mergeCell ref="B14:J15"/>
    <mergeCell ref="K14:K15"/>
    <mergeCell ref="L14:L15"/>
    <mergeCell ref="M14:M15"/>
    <mergeCell ref="N14:N15"/>
    <mergeCell ref="B8:H9"/>
    <mergeCell ref="K8:R9"/>
    <mergeCell ref="A11:I12"/>
    <mergeCell ref="K11:K12"/>
    <mergeCell ref="L11:L12"/>
    <mergeCell ref="M11:M12"/>
    <mergeCell ref="N11:N12"/>
    <mergeCell ref="O11:O12"/>
    <mergeCell ref="P11:P12"/>
    <mergeCell ref="Q11:Q12"/>
    <mergeCell ref="R11:R12"/>
    <mergeCell ref="A1:J3"/>
    <mergeCell ref="K1:P3"/>
    <mergeCell ref="Q1:Q2"/>
    <mergeCell ref="A4:J5"/>
    <mergeCell ref="K4:P5"/>
    <mergeCell ref="Q4:R4"/>
    <mergeCell ref="Q5:R5"/>
  </mergeCells>
  <dataValidations count="11">
    <dataValidation type="whole" allowBlank="1" showInputMessage="1" showErrorMessage="1" errorTitle="Achtung, Sabotage-Akt" error="Die Daten aktualisieren sich von selbst und bedürfen keiner manuellen Nachbearbeitung._x000a_Aber danke, dass du es trotzdem versucht hast!" sqref="K11:Q12" xr:uid="{64499B00-3DAC-4D2F-8503-919713F1EE17}">
      <formula1>1.00004564054032E+39</formula1>
      <formula2>1.00004564054032E+39</formula2>
    </dataValidation>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J23:Q41 E25:I25 E28:I28 E31:I31 E40:I41 E34:I34 E37:I37" xr:uid="{57A708FD-BDE2-4080-A2A6-0F86550F69C4}">
      <formula1>1.00001001001E+39</formula1>
      <formula2>1.00001001001E+39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4:R4 A4:J5" xr:uid="{5387E314-49BE-4A05-9411-40BFD638DF40}">
      <formula1>1.0000101010101E+39</formula1>
      <formula2>1.0000101010101E+39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5:R5" xr:uid="{9D82AA07-72B6-4B9C-B17F-2B45D7021BDA}">
      <formula1>4.0000050640321E+39</formula1>
      <formula2>4.0000050640321E+39</formula2>
    </dataValidation>
    <dataValidation type="whole" allowBlank="1" showInputMessage="1" showErrorMessage="1" errorTitle="Achtung, Sabotage-Akt" error="Die Daten aktualisieren sich von selbst und bedürfen keiner manuellen Nachbearbeitung._x000a_Aber danke, dass du es trotzdem versucht hast!" sqref="Q3" xr:uid="{5B136B1D-7634-4B71-8B8D-0A0A7E205C7C}">
      <formula1>1.000000104506E+39</formula1>
      <formula2>1.000000104506E+39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K4:P5" xr:uid="{B879A310-5832-4575-96A7-CE0566056A05}">
      <formula1>2.0000021031015E+39</formula1>
      <formula2>2.0000021031015E+39</formula2>
    </dataValidation>
    <dataValidation allowBlank="1" showInputMessage="1" showErrorMessage="1" errorTitle="Achtung, Sabotage-Akt" error="Die Daten aktualisieren sich von selbst und bedürfen keiner manuellen Nachbearbeitung._x000a_Aber danke, dass du es trotzdem versucht hast!" sqref="B14:J21" xr:uid="{EB7C15C4-BF3E-4300-9F05-448CBE598C91}"/>
    <dataValidation type="whole" allowBlank="1" showInputMessage="1" showErrorMessage="1" errorTitle="Achtung, kein Eingabefeld!" error="Die Daten im hellgrünen Bereich sind besonders geschützt, weil hier komplizierte Formeln hinterlegt sind!" sqref="K18:R19 R16:R17" xr:uid="{C683DD85-DBA3-4CA9-A3BC-FF5B9918D9A5}">
      <formula1>1.00000000000101E+39</formula1>
      <formula2>1.00000000000101E+39</formula2>
    </dataValidation>
    <dataValidation type="whole" allowBlank="1" showInputMessage="1" showErrorMessage="1" errorTitle="Achtung, Sabotage-Akt" error="Die Daten aktualisieren sich von selbst und bedürfen keiner manuellen Nachbearbeitung._x000a_Aber danke, dass du es trotzdem versucht hast!" sqref="R11:R12" xr:uid="{FD7ACC0D-F253-4D11-BF3A-87692075E86B}">
      <formula1>5.00050987065403E+39</formula1>
      <formula2>5.00050987065403E+39</formula2>
    </dataValidation>
    <dataValidation type="whole" allowBlank="1" showInputMessage="1" showErrorMessage="1" errorTitle="Achtung, kein Eingabefeld!" error="Die Daten im hellgrünen Bereich sind besonders geschützt, weil hier komplizierte Formeln hinterlegt sind!" sqref="K14:R15" xr:uid="{0919DA36-1182-4DE8-B265-AE95330BB601}">
      <formula1>1.00000010206E+39</formula1>
      <formula2>1.00000010206E+39</formula2>
    </dataValidation>
    <dataValidation type="whole" allowBlank="1" showInputMessage="1" showErrorMessage="1" errorTitle="Achtung, Sabotage-Akt" error="Du darfst hier nichts ändern, ergänzen oder gar löschen!" sqref="K8:R9" xr:uid="{2D123CBB-E0D5-42D5-B633-455327C747C7}">
      <formula1>1.0000000506409E+39</formula1>
      <formula2>1.0000000506409E+39</formula2>
    </dataValidation>
  </dataValidation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30151-7BAC-48D9-891D-DDF371E63443}">
  <dimension ref="A1:R43"/>
  <sheetViews>
    <sheetView topLeftCell="A7" zoomScaleNormal="100" workbookViewId="0">
      <selection activeCell="K7" sqref="K7"/>
    </sheetView>
  </sheetViews>
  <sheetFormatPr baseColWidth="10" defaultRowHeight="15" x14ac:dyDescent="0.25"/>
  <cols>
    <col min="1" max="10" width="2.85546875" customWidth="1"/>
    <col min="11" max="11" width="11.42578125" customWidth="1"/>
    <col min="13" max="13" width="12.7109375" customWidth="1"/>
    <col min="14" max="14" width="11.85546875" customWidth="1"/>
    <col min="15" max="15" width="12.42578125" customWidth="1"/>
    <col min="16" max="16" width="10.28515625" customWidth="1"/>
    <col min="19" max="19" width="1.42578125" customWidth="1"/>
  </cols>
  <sheetData>
    <row r="1" spans="1:18" ht="15" customHeight="1" x14ac:dyDescent="0.25">
      <c r="A1" s="85"/>
      <c r="B1" s="85"/>
      <c r="C1" s="85"/>
      <c r="D1" s="85"/>
      <c r="E1" s="85"/>
      <c r="F1" s="85"/>
      <c r="G1" s="85"/>
      <c r="H1" s="85"/>
      <c r="I1" s="85"/>
      <c r="J1" s="85"/>
      <c r="K1" s="116" t="str">
        <f>IF(Start!K7="English","Stair climbing",IF(Start!K7="Español","Subir escaleras","Treppensteigen"))</f>
        <v>Treppensteigen</v>
      </c>
      <c r="L1" s="116"/>
      <c r="M1" s="116"/>
      <c r="N1" s="116"/>
      <c r="O1" s="116"/>
      <c r="P1" s="116"/>
      <c r="Q1" s="116"/>
    </row>
    <row r="2" spans="1:18" ht="15" customHeight="1" x14ac:dyDescent="0.25">
      <c r="A2" s="85"/>
      <c r="B2" s="85"/>
      <c r="C2" s="85"/>
      <c r="D2" s="85"/>
      <c r="E2" s="85"/>
      <c r="F2" s="85"/>
      <c r="G2" s="85"/>
      <c r="H2" s="85"/>
      <c r="I2" s="85"/>
      <c r="J2" s="85"/>
      <c r="K2" s="116"/>
      <c r="L2" s="116"/>
      <c r="M2" s="116"/>
      <c r="N2" s="116"/>
      <c r="O2" s="116"/>
      <c r="P2" s="116"/>
      <c r="Q2" s="116"/>
    </row>
    <row r="3" spans="1:18" x14ac:dyDescent="0.25">
      <c r="A3" s="85"/>
      <c r="B3" s="85"/>
      <c r="C3" s="85"/>
      <c r="D3" s="85"/>
      <c r="E3" s="85"/>
      <c r="F3" s="85"/>
      <c r="G3" s="85"/>
      <c r="H3" s="85"/>
      <c r="I3" s="85"/>
      <c r="J3" s="85"/>
      <c r="K3" s="116"/>
      <c r="L3" s="116"/>
      <c r="M3" s="116"/>
      <c r="N3" s="116"/>
      <c r="O3" s="116"/>
      <c r="P3" s="116"/>
      <c r="Q3" s="74"/>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8" spans="1:18" x14ac:dyDescent="0.25">
      <c r="B8" s="79" t="str">
        <f>IF(Start!K7="English","Start",IF(Start!K7="Español","Inicio","Start"))</f>
        <v>Start</v>
      </c>
      <c r="C8" s="79"/>
      <c r="D8" s="79"/>
      <c r="E8" s="79"/>
      <c r="F8" s="79"/>
      <c r="G8" s="79"/>
      <c r="H8" s="79"/>
      <c r="K8" s="171" t="str">
        <f>IF(Start!K7="English","Enter here the floors you measured with the stair counter on your smartphone. "&amp;"It should already be 10 floors per day!",IF(Start!K7="Español","Introduce los pisos que has medido con el contador de escaleras de tu smartphone. "&amp;" ¡Ya deberían ser 10 pisos al día!","Trage hier die Etagen ein, die du mit dem Treppenzähler auf deinem Smartphone gemessen hast."&amp;" Es sollten schon 10 Etagen pro Tag sein!"))</f>
        <v>Trage hier die Etagen ein, die du mit dem Treppenzähler auf deinem Smartphone gemessen hast. Es sollten schon 10 Etagen pro Tag sein!</v>
      </c>
      <c r="L8" s="172"/>
      <c r="M8" s="172"/>
      <c r="N8" s="172"/>
      <c r="O8" s="172"/>
      <c r="P8" s="172"/>
      <c r="Q8" s="172"/>
      <c r="R8" s="173"/>
    </row>
    <row r="9" spans="1:18" x14ac:dyDescent="0.25">
      <c r="B9" s="79"/>
      <c r="C9" s="79"/>
      <c r="D9" s="79"/>
      <c r="E9" s="79"/>
      <c r="F9" s="79"/>
      <c r="G9" s="79"/>
      <c r="H9" s="79"/>
      <c r="K9" s="174"/>
      <c r="L9" s="175"/>
      <c r="M9" s="175"/>
      <c r="N9" s="175"/>
      <c r="O9" s="175"/>
      <c r="P9" s="175"/>
      <c r="Q9" s="175"/>
      <c r="R9" s="176"/>
    </row>
    <row r="11" spans="1:18" ht="15" customHeight="1" x14ac:dyDescent="0.25">
      <c r="A11" s="79" t="str">
        <f>IF(Start!K7="English","Fitness",IF(Start!K7="Español","Fitness","Fitness"))</f>
        <v>Fitness</v>
      </c>
      <c r="B11" s="84"/>
      <c r="C11" s="84"/>
      <c r="D11" s="84"/>
      <c r="E11" s="84"/>
      <c r="F11" s="84"/>
      <c r="G11" s="84"/>
      <c r="H11" s="84"/>
      <c r="I11" s="84"/>
      <c r="K11" s="183" t="str">
        <f>IF(Start!K7="English","Sunday",IF(Start!K7="Español","Domingo","Sonntag"))</f>
        <v>Sonntag</v>
      </c>
      <c r="L11" s="183" t="str">
        <f>IF(Start!K7="English","Monday",IF(Start!K7="Español","Lunes","Montag"))</f>
        <v>Montag</v>
      </c>
      <c r="M11" s="183" t="str">
        <f>IF(Start!K7="English","Tuesday",IF(Start!K7="Español","Martes","Dienstag"))</f>
        <v>Dienstag</v>
      </c>
      <c r="N11" s="183" t="str">
        <f>IF(Start!K7="English","Wednesday",IF(Start!K7="Español","Miércoles","Mittwoch"))</f>
        <v>Mittwoch</v>
      </c>
      <c r="O11" s="183" t="str">
        <f>IF(Start!K7="English","Thursday",IF(Start!K7="Español","Jueves","Donnerstag"))</f>
        <v>Donnerstag</v>
      </c>
      <c r="P11" s="183" t="str">
        <f>IF(Start!K7="English","Friday",IF(Start!K7="Español","Viernes","Freitag"))</f>
        <v>Freitag</v>
      </c>
      <c r="Q11" s="183" t="str">
        <f>IF(Start!K7="English","Saturday",IF(Start!K7="Español","Sábado","Samstag"))</f>
        <v>Samstag</v>
      </c>
      <c r="R11" s="184" t="str">
        <f>IF(Start!K7="English","Average",IF(Start!K7="Español","Media","Durchschnitt"))</f>
        <v>Durchschnitt</v>
      </c>
    </row>
    <row r="12" spans="1:18" ht="15" customHeight="1" x14ac:dyDescent="0.25">
      <c r="A12" s="84"/>
      <c r="B12" s="84"/>
      <c r="C12" s="84"/>
      <c r="D12" s="84"/>
      <c r="E12" s="84"/>
      <c r="F12" s="84"/>
      <c r="G12" s="84"/>
      <c r="H12" s="84"/>
      <c r="I12" s="84"/>
      <c r="K12" s="183"/>
      <c r="L12" s="183"/>
      <c r="M12" s="183"/>
      <c r="N12" s="183"/>
      <c r="O12" s="183"/>
      <c r="P12" s="183"/>
      <c r="Q12" s="183"/>
      <c r="R12" s="184"/>
    </row>
    <row r="13" spans="1:18" x14ac:dyDescent="0.25">
      <c r="M13" s="3"/>
      <c r="N13" s="3"/>
      <c r="O13" s="3"/>
    </row>
    <row r="14" spans="1:18" ht="15" customHeight="1" x14ac:dyDescent="0.25">
      <c r="A14" s="185" t="str">
        <f>IF(Start!K7="English","Directive",IF(Start!K7="Español","Directiva","Richtlinie"))</f>
        <v>Richtlinie</v>
      </c>
      <c r="B14" s="185"/>
      <c r="C14" s="185"/>
      <c r="D14" s="185"/>
      <c r="E14" s="185"/>
      <c r="F14" s="185"/>
      <c r="G14" s="185"/>
      <c r="H14" s="185"/>
      <c r="I14" s="185"/>
      <c r="J14" s="185"/>
      <c r="K14" s="197">
        <v>10</v>
      </c>
      <c r="L14" s="187">
        <f>K14</f>
        <v>10</v>
      </c>
      <c r="M14" s="187">
        <f>L14</f>
        <v>10</v>
      </c>
      <c r="N14" s="187">
        <f t="shared" ref="N14:R14" si="0">M14</f>
        <v>10</v>
      </c>
      <c r="O14" s="187">
        <f t="shared" si="0"/>
        <v>10</v>
      </c>
      <c r="P14" s="187">
        <f t="shared" si="0"/>
        <v>10</v>
      </c>
      <c r="Q14" s="187">
        <f t="shared" si="0"/>
        <v>10</v>
      </c>
      <c r="R14" s="187">
        <f t="shared" si="0"/>
        <v>10</v>
      </c>
    </row>
    <row r="15" spans="1:18" ht="15" customHeight="1" x14ac:dyDescent="0.25">
      <c r="A15" s="185"/>
      <c r="B15" s="185"/>
      <c r="C15" s="185"/>
      <c r="D15" s="185"/>
      <c r="E15" s="185"/>
      <c r="F15" s="185"/>
      <c r="G15" s="185"/>
      <c r="H15" s="185"/>
      <c r="I15" s="185"/>
      <c r="J15" s="185"/>
      <c r="K15" s="197"/>
      <c r="L15" s="187"/>
      <c r="M15" s="187"/>
      <c r="N15" s="187"/>
      <c r="O15" s="187"/>
      <c r="P15" s="187"/>
      <c r="Q15" s="187"/>
      <c r="R15" s="187"/>
    </row>
    <row r="16" spans="1:18" x14ac:dyDescent="0.25">
      <c r="A16" s="185" t="str">
        <f>IF(Start!K7="English","Floors",IF(Start!K7="Español","Suelos","Stockwerke"))</f>
        <v>Stockwerke</v>
      </c>
      <c r="B16" s="185"/>
      <c r="C16" s="185"/>
      <c r="D16" s="185"/>
      <c r="E16" s="185"/>
      <c r="F16" s="185"/>
      <c r="G16" s="185"/>
      <c r="H16" s="185"/>
      <c r="I16" s="185"/>
      <c r="J16" s="185"/>
      <c r="K16" s="188">
        <v>0</v>
      </c>
      <c r="L16" s="188">
        <v>0</v>
      </c>
      <c r="M16" s="188">
        <v>0</v>
      </c>
      <c r="N16" s="188">
        <v>0</v>
      </c>
      <c r="O16" s="188">
        <v>0</v>
      </c>
      <c r="P16" s="188">
        <v>0</v>
      </c>
      <c r="Q16" s="188">
        <v>0</v>
      </c>
      <c r="R16" s="195">
        <f>ROUNDUP((K16+L16+M16+N16+O16+P16+Q16)/7,0)</f>
        <v>0</v>
      </c>
    </row>
    <row r="17" spans="1:18" ht="15" customHeight="1" x14ac:dyDescent="0.25">
      <c r="A17" s="185"/>
      <c r="B17" s="185"/>
      <c r="C17" s="185"/>
      <c r="D17" s="185"/>
      <c r="E17" s="185"/>
      <c r="F17" s="185"/>
      <c r="G17" s="185"/>
      <c r="H17" s="185"/>
      <c r="I17" s="185"/>
      <c r="J17" s="185"/>
      <c r="K17" s="194"/>
      <c r="L17" s="194"/>
      <c r="M17" s="194"/>
      <c r="N17" s="194"/>
      <c r="O17" s="194"/>
      <c r="P17" s="194"/>
      <c r="Q17" s="194"/>
      <c r="R17" s="196"/>
    </row>
    <row r="18" spans="1:18" ht="15" customHeight="1" x14ac:dyDescent="0.25">
      <c r="A18" s="185" t="str">
        <f>IF(Start!K7="English","Percentage",IF(Start!K7="Español","Porcentaje","Prozentual"))</f>
        <v>Prozentual</v>
      </c>
      <c r="B18" s="185"/>
      <c r="C18" s="185"/>
      <c r="D18" s="185"/>
      <c r="E18" s="185"/>
      <c r="F18" s="185"/>
      <c r="G18" s="185"/>
      <c r="H18" s="185"/>
      <c r="I18" s="185"/>
      <c r="J18" s="185"/>
      <c r="K18" s="192" t="str">
        <f>ROUNDDOWN(100*K16/K14,2)&amp;" %"</f>
        <v>0 %</v>
      </c>
      <c r="L18" s="192" t="str">
        <f>ROUNDDOWN(100*L16/L14,2)&amp;" %"</f>
        <v>0 %</v>
      </c>
      <c r="M18" s="192" t="str">
        <f>ROUNDDOWN(100*M16/M14,2)&amp;" %"</f>
        <v>0 %</v>
      </c>
      <c r="N18" s="192" t="str">
        <f t="shared" ref="N18:R18" si="1">ROUNDDOWN(100*N16/N14,2)&amp;" %"</f>
        <v>0 %</v>
      </c>
      <c r="O18" s="192" t="str">
        <f t="shared" si="1"/>
        <v>0 %</v>
      </c>
      <c r="P18" s="192" t="str">
        <f t="shared" si="1"/>
        <v>0 %</v>
      </c>
      <c r="Q18" s="192" t="str">
        <f t="shared" si="1"/>
        <v>0 %</v>
      </c>
      <c r="R18" s="192" t="str">
        <f t="shared" si="1"/>
        <v>0 %</v>
      </c>
    </row>
    <row r="19" spans="1:18" ht="15.75" thickBot="1" x14ac:dyDescent="0.3">
      <c r="A19" s="185"/>
      <c r="B19" s="185"/>
      <c r="C19" s="185"/>
      <c r="D19" s="185"/>
      <c r="E19" s="185"/>
      <c r="F19" s="185"/>
      <c r="G19" s="185"/>
      <c r="H19" s="185"/>
      <c r="I19" s="185"/>
      <c r="J19" s="185"/>
      <c r="K19" s="193"/>
      <c r="L19" s="193"/>
      <c r="M19" s="193"/>
      <c r="N19" s="193"/>
      <c r="O19" s="193"/>
      <c r="P19" s="193"/>
      <c r="Q19" s="193"/>
      <c r="R19" s="193"/>
    </row>
    <row r="20" spans="1:18" ht="15.75" thickTop="1" x14ac:dyDescent="0.25">
      <c r="A20" s="145"/>
      <c r="B20" s="145"/>
      <c r="C20" s="145"/>
      <c r="D20" s="145"/>
      <c r="E20" s="145"/>
      <c r="F20" s="145"/>
      <c r="G20" s="145"/>
      <c r="H20" s="145"/>
      <c r="I20" s="145"/>
      <c r="J20" s="145"/>
    </row>
    <row r="21" spans="1:18" x14ac:dyDescent="0.25">
      <c r="A21" s="145"/>
      <c r="B21" s="145"/>
      <c r="C21" s="145"/>
      <c r="D21" s="145"/>
      <c r="E21" s="145"/>
      <c r="F21" s="145"/>
      <c r="G21" s="145"/>
      <c r="H21" s="145"/>
      <c r="I21" s="145"/>
      <c r="J21" s="145"/>
      <c r="M21" s="28"/>
    </row>
    <row r="22" spans="1:18" x14ac:dyDescent="0.25">
      <c r="N22" t="s">
        <v>0</v>
      </c>
    </row>
    <row r="23" spans="1:18" ht="15" customHeight="1" x14ac:dyDescent="0.25">
      <c r="A23" s="79"/>
      <c r="B23" s="84"/>
      <c r="C23" s="84"/>
      <c r="D23" s="84"/>
      <c r="E23" s="84"/>
      <c r="F23" s="84"/>
      <c r="G23" s="84"/>
      <c r="H23" s="84"/>
      <c r="I23" s="84"/>
      <c r="J23" s="9"/>
      <c r="K23" s="9"/>
      <c r="L23" s="9"/>
      <c r="M23" s="9"/>
      <c r="N23" s="9"/>
      <c r="O23" s="9"/>
      <c r="P23" s="9"/>
      <c r="Q23" s="9"/>
    </row>
    <row r="24" spans="1:18" ht="15" customHeight="1" x14ac:dyDescent="0.25">
      <c r="A24" s="84"/>
      <c r="B24" s="84"/>
      <c r="C24" s="84"/>
      <c r="D24" s="84"/>
      <c r="E24" s="84"/>
      <c r="F24" s="84"/>
      <c r="G24" s="84"/>
      <c r="H24" s="84"/>
      <c r="I24" s="84"/>
      <c r="J24" s="29"/>
      <c r="K24" s="29"/>
      <c r="L24" s="29"/>
      <c r="M24" s="29"/>
      <c r="N24" s="29"/>
      <c r="O24" s="29"/>
      <c r="P24" s="29"/>
      <c r="Q24" s="29"/>
    </row>
    <row r="25" spans="1:18" x14ac:dyDescent="0.25">
      <c r="E25" s="29"/>
      <c r="F25" s="29"/>
      <c r="G25" s="29"/>
      <c r="H25" s="29"/>
      <c r="I25" s="29"/>
      <c r="J25" s="29"/>
      <c r="K25" s="29"/>
      <c r="L25" s="29"/>
      <c r="M25" s="29"/>
      <c r="N25" s="29"/>
      <c r="O25" s="29"/>
      <c r="P25" s="29"/>
      <c r="Q25" s="29"/>
    </row>
    <row r="26" spans="1:18" x14ac:dyDescent="0.25">
      <c r="J26" s="29"/>
      <c r="K26" s="29"/>
      <c r="L26" s="29"/>
      <c r="M26" s="29"/>
      <c r="N26" s="29"/>
      <c r="O26" s="29"/>
      <c r="P26" s="29"/>
      <c r="Q26" s="29"/>
    </row>
    <row r="27" spans="1:18" x14ac:dyDescent="0.25">
      <c r="J27" s="29"/>
      <c r="K27" s="29"/>
      <c r="L27" s="29"/>
      <c r="M27" s="29"/>
      <c r="N27" s="29"/>
      <c r="O27" s="29"/>
      <c r="P27" s="29"/>
      <c r="Q27" s="29"/>
    </row>
    <row r="28" spans="1:18" x14ac:dyDescent="0.25">
      <c r="E28" s="29"/>
      <c r="F28" s="29"/>
      <c r="G28" s="29"/>
      <c r="H28" s="29"/>
      <c r="I28" s="29"/>
      <c r="J28" s="29"/>
      <c r="K28" s="29"/>
      <c r="L28" s="29"/>
      <c r="M28" s="29"/>
      <c r="N28" s="29"/>
      <c r="O28" s="29"/>
      <c r="P28" s="29"/>
      <c r="Q28" s="29"/>
    </row>
    <row r="29" spans="1:18" x14ac:dyDescent="0.25">
      <c r="A29" s="85"/>
      <c r="B29" s="85"/>
      <c r="C29" s="85"/>
      <c r="D29" s="85"/>
      <c r="E29" s="85"/>
      <c r="F29" s="85"/>
      <c r="G29" s="85"/>
      <c r="H29" s="85"/>
      <c r="I29" s="85"/>
      <c r="J29" s="29"/>
      <c r="K29" s="29"/>
      <c r="L29" s="29"/>
      <c r="M29" s="29"/>
      <c r="N29" s="29"/>
      <c r="O29" s="29"/>
      <c r="P29" s="29"/>
      <c r="Q29" s="29"/>
    </row>
    <row r="30" spans="1:18" x14ac:dyDescent="0.25">
      <c r="A30" s="85"/>
      <c r="B30" s="85"/>
      <c r="C30" s="85"/>
      <c r="D30" s="85"/>
      <c r="E30" s="85"/>
      <c r="F30" s="85"/>
      <c r="G30" s="85"/>
      <c r="H30" s="85"/>
      <c r="I30" s="85"/>
      <c r="J30" s="29"/>
      <c r="K30" s="29"/>
      <c r="L30" s="29"/>
      <c r="M30" s="29"/>
      <c r="N30" s="29"/>
      <c r="O30" s="29"/>
      <c r="P30" s="29"/>
      <c r="Q30" s="29"/>
    </row>
    <row r="31" spans="1:18" x14ac:dyDescent="0.25">
      <c r="E31" s="29"/>
      <c r="F31" s="29"/>
      <c r="G31" s="29"/>
      <c r="H31" s="29"/>
      <c r="I31" s="29"/>
      <c r="J31" s="29"/>
      <c r="K31" s="29"/>
      <c r="L31" s="29"/>
      <c r="M31" s="29"/>
      <c r="N31" s="29"/>
      <c r="O31" s="29"/>
      <c r="P31" s="29"/>
      <c r="Q31" s="29"/>
    </row>
    <row r="32" spans="1:18" x14ac:dyDescent="0.25">
      <c r="A32" s="85"/>
      <c r="B32" s="85"/>
      <c r="C32" s="85"/>
      <c r="D32" s="85"/>
      <c r="E32" s="85"/>
      <c r="F32" s="85"/>
      <c r="G32" s="85"/>
      <c r="H32" s="85"/>
      <c r="I32" s="85"/>
      <c r="J32" s="29"/>
      <c r="K32" s="29"/>
      <c r="L32" s="29"/>
      <c r="M32" s="29"/>
      <c r="N32" s="29"/>
      <c r="O32" s="29"/>
      <c r="P32" s="29"/>
      <c r="Q32" s="29"/>
    </row>
    <row r="33" spans="1:17" x14ac:dyDescent="0.25">
      <c r="A33" s="85"/>
      <c r="B33" s="85"/>
      <c r="C33" s="85"/>
      <c r="D33" s="85"/>
      <c r="E33" s="85"/>
      <c r="F33" s="85"/>
      <c r="G33" s="85"/>
      <c r="H33" s="85"/>
      <c r="I33" s="85"/>
      <c r="J33" s="29"/>
      <c r="K33" s="29"/>
      <c r="L33" s="29"/>
      <c r="M33" s="29"/>
      <c r="N33" s="29"/>
      <c r="O33" s="29"/>
      <c r="P33" s="29"/>
      <c r="Q33" s="29"/>
    </row>
    <row r="34" spans="1:17" x14ac:dyDescent="0.25">
      <c r="E34" s="29"/>
      <c r="F34" s="29"/>
      <c r="G34" s="29"/>
      <c r="H34" s="29"/>
      <c r="I34" s="29"/>
      <c r="J34" s="29"/>
      <c r="K34" s="29"/>
      <c r="L34" s="29"/>
      <c r="M34" s="29"/>
      <c r="N34" s="29"/>
      <c r="O34" s="29"/>
      <c r="P34" s="29"/>
      <c r="Q34" s="29"/>
    </row>
    <row r="35" spans="1:17" x14ac:dyDescent="0.25">
      <c r="A35" s="85"/>
      <c r="B35" s="85"/>
      <c r="C35" s="85"/>
      <c r="D35" s="85"/>
      <c r="E35" s="85"/>
      <c r="F35" s="85"/>
      <c r="G35" s="85"/>
      <c r="H35" s="85"/>
      <c r="I35" s="85"/>
      <c r="J35" s="29"/>
      <c r="K35" s="29"/>
      <c r="L35" s="29"/>
      <c r="M35" s="29"/>
      <c r="N35" s="29"/>
      <c r="O35" s="29"/>
      <c r="P35" s="29"/>
      <c r="Q35" s="29"/>
    </row>
    <row r="36" spans="1:17" x14ac:dyDescent="0.25">
      <c r="A36" s="85"/>
      <c r="B36" s="85"/>
      <c r="C36" s="85"/>
      <c r="D36" s="85"/>
      <c r="E36" s="85"/>
      <c r="F36" s="85"/>
      <c r="G36" s="85"/>
      <c r="H36" s="85"/>
      <c r="I36" s="85"/>
      <c r="J36" s="29"/>
      <c r="K36" s="29"/>
      <c r="L36" s="29"/>
      <c r="M36" s="29"/>
      <c r="N36" s="29"/>
      <c r="O36" s="29"/>
      <c r="P36" s="29"/>
      <c r="Q36" s="29"/>
    </row>
    <row r="37" spans="1:17" x14ac:dyDescent="0.25">
      <c r="E37" s="29"/>
      <c r="F37" s="29"/>
      <c r="G37" s="29"/>
      <c r="H37" s="29"/>
      <c r="I37" s="29"/>
      <c r="J37" s="29"/>
      <c r="K37" s="29"/>
      <c r="L37" s="29"/>
      <c r="M37" s="29"/>
      <c r="N37" s="29"/>
      <c r="O37" s="29"/>
      <c r="P37" s="29"/>
      <c r="Q37" s="29"/>
    </row>
    <row r="38" spans="1:17" x14ac:dyDescent="0.25">
      <c r="A38" s="85"/>
      <c r="B38" s="85"/>
      <c r="C38" s="85"/>
      <c r="D38" s="85"/>
      <c r="E38" s="85"/>
      <c r="F38" s="85"/>
      <c r="G38" s="85"/>
      <c r="H38" s="85"/>
      <c r="I38" s="85"/>
      <c r="J38" s="29"/>
      <c r="K38" s="29"/>
      <c r="L38" s="29"/>
      <c r="M38" s="29"/>
      <c r="N38" s="29"/>
      <c r="O38" s="29"/>
      <c r="P38" s="29"/>
      <c r="Q38" s="29"/>
    </row>
    <row r="39" spans="1:17" x14ac:dyDescent="0.25">
      <c r="A39" s="85"/>
      <c r="B39" s="85"/>
      <c r="C39" s="85"/>
      <c r="D39" s="85"/>
      <c r="E39" s="85"/>
      <c r="F39" s="85"/>
      <c r="G39" s="85"/>
      <c r="H39" s="85"/>
      <c r="I39" s="85"/>
      <c r="J39" s="29"/>
      <c r="K39" s="29"/>
      <c r="L39" s="29"/>
      <c r="M39" s="29"/>
      <c r="N39" s="29"/>
      <c r="O39" s="29"/>
      <c r="P39" s="29"/>
      <c r="Q39" s="29"/>
    </row>
    <row r="40" spans="1:17" x14ac:dyDescent="0.25">
      <c r="E40" s="29"/>
      <c r="F40" s="29"/>
      <c r="G40" s="29"/>
      <c r="H40" s="29"/>
      <c r="I40" s="29"/>
      <c r="J40" s="29"/>
      <c r="K40" s="29"/>
      <c r="L40" s="29"/>
      <c r="M40" s="29"/>
      <c r="N40" s="29"/>
      <c r="O40" s="29"/>
      <c r="P40" s="29"/>
      <c r="Q40" s="29"/>
    </row>
    <row r="41" spans="1:17" x14ac:dyDescent="0.25">
      <c r="E41" s="29"/>
      <c r="F41" s="29"/>
      <c r="G41" s="29"/>
      <c r="H41" s="29"/>
      <c r="I41" s="29"/>
      <c r="J41" s="29"/>
      <c r="K41" s="29"/>
      <c r="L41" s="29"/>
      <c r="M41" s="29"/>
      <c r="N41" s="29"/>
      <c r="O41" s="29"/>
      <c r="P41" s="29"/>
      <c r="Q41" s="29"/>
    </row>
    <row r="42" spans="1:17" x14ac:dyDescent="0.25">
      <c r="E42" s="10"/>
      <c r="F42" s="10"/>
      <c r="G42" s="10"/>
      <c r="H42" s="10"/>
      <c r="I42" s="10"/>
      <c r="J42" s="10"/>
      <c r="K42" s="10"/>
      <c r="L42" s="10"/>
      <c r="M42" s="10"/>
      <c r="N42" s="10"/>
      <c r="O42" s="10"/>
      <c r="P42" s="10"/>
      <c r="Q42" s="10"/>
    </row>
    <row r="43" spans="1:17" x14ac:dyDescent="0.25">
      <c r="E43" s="10"/>
      <c r="F43" s="10"/>
      <c r="G43" s="10"/>
      <c r="H43" s="10"/>
      <c r="I43" s="10"/>
      <c r="J43" s="10"/>
      <c r="K43" s="10"/>
      <c r="L43" s="10"/>
      <c r="M43" s="10"/>
      <c r="N43" s="10"/>
      <c r="O43" s="10"/>
      <c r="P43" s="10"/>
      <c r="Q43" s="10"/>
    </row>
  </sheetData>
  <mergeCells count="51">
    <mergeCell ref="A29:I30"/>
    <mergeCell ref="A32:I33"/>
    <mergeCell ref="A35:I36"/>
    <mergeCell ref="A38:I39"/>
    <mergeCell ref="B8:H9"/>
    <mergeCell ref="A11:I12"/>
    <mergeCell ref="A23:I24"/>
    <mergeCell ref="A20:J21"/>
    <mergeCell ref="A18:J19"/>
    <mergeCell ref="K8:R9"/>
    <mergeCell ref="A1:J3"/>
    <mergeCell ref="K1:P3"/>
    <mergeCell ref="Q1:Q2"/>
    <mergeCell ref="A4:J5"/>
    <mergeCell ref="K4:P5"/>
    <mergeCell ref="Q4:R4"/>
    <mergeCell ref="Q5:R5"/>
    <mergeCell ref="K14:K15"/>
    <mergeCell ref="L14:L15"/>
    <mergeCell ref="M14:M15"/>
    <mergeCell ref="N14:N15"/>
    <mergeCell ref="K18:K19"/>
    <mergeCell ref="M16:M17"/>
    <mergeCell ref="N16:N17"/>
    <mergeCell ref="P11:P12"/>
    <mergeCell ref="Q11:Q12"/>
    <mergeCell ref="R11:R12"/>
    <mergeCell ref="A14:J15"/>
    <mergeCell ref="A16:J17"/>
    <mergeCell ref="O14:O15"/>
    <mergeCell ref="P14:P15"/>
    <mergeCell ref="Q14:Q15"/>
    <mergeCell ref="R14:R15"/>
    <mergeCell ref="K11:K12"/>
    <mergeCell ref="L11:L12"/>
    <mergeCell ref="M11:M12"/>
    <mergeCell ref="N11:N12"/>
    <mergeCell ref="O11:O12"/>
    <mergeCell ref="K16:K17"/>
    <mergeCell ref="L16:L17"/>
    <mergeCell ref="O16:O17"/>
    <mergeCell ref="P16:P17"/>
    <mergeCell ref="Q16:Q17"/>
    <mergeCell ref="R16:R17"/>
    <mergeCell ref="L18:L19"/>
    <mergeCell ref="M18:M19"/>
    <mergeCell ref="N18:N19"/>
    <mergeCell ref="O18:O19"/>
    <mergeCell ref="P18:P19"/>
    <mergeCell ref="Q18:Q19"/>
    <mergeCell ref="R18:R19"/>
  </mergeCells>
  <dataValidations count="15">
    <dataValidation type="whole" allowBlank="1" showInputMessage="1" showErrorMessage="1" errorTitle="Achtung, Sabotage-Akt" error="Die Daten im dunkelblauen Bereich aktualisieren sich von selbst und bedürfen keiner manuellen Korrektur._x000a_Aber danke, dass du es trotzdem versucht hast!" sqref="K4:P5" xr:uid="{3F22276B-2D9F-4E5E-8D04-EB650B3E9FC0}">
      <formula1>2.0000021031015E+39</formula1>
      <formula2>2.0000021031015E+39</formula2>
    </dataValidation>
    <dataValidation type="whole" allowBlank="1" showInputMessage="1" showErrorMessage="1" errorTitle="Achtung, Sabotage-Akt" error="Die Daten aktualisieren sich von selbst und bedürfen keiner manuellen Nachbearbeitung._x000a_Aber danke, dass du es trotzdem versucht hast!" sqref="Q3" xr:uid="{490D2038-F469-4FD4-9F3B-4F0758F80854}">
      <formula1>1.000000104506E+39</formula1>
      <formula2>1.000000104506E+39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5:R5" xr:uid="{2CC36385-C99D-4DFF-9781-CD393B0E6B24}">
      <formula1>4.0000050640321E+39</formula1>
      <formula2>4.0000050640321E+39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4:R4 A4:J5" xr:uid="{AE64270D-B95B-41D0-B7A5-9F90D9D016FA}">
      <formula1>1.0000101010101E+39</formula1>
      <formula2>1.0000101010101E+39</formula2>
    </dataValidation>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J23:Q41 E25:I25 E28:I28 E31:I31 E40:I41 E34:I34 E37:I37" xr:uid="{A17B1656-0063-4BE4-AA13-068279E53F16}">
      <formula1>1.00001001001E+39</formula1>
      <formula2>1.00001001001E+39</formula2>
    </dataValidation>
    <dataValidation allowBlank="1" errorTitle="Achtung, Sabotage-Akt!" error="Zellen, die grün markiert sind, eignen sich nicht zur Dateneingabe. Hier sind Formeln hinterlegt, welche nicht zerstört werden dürfen. Danke für dein Verständnis!" promptTitle="Wichtige Info!" prompt="Du darfst hier nichts eingeben, es wird alles automatisch berechnet!" sqref="M21" xr:uid="{9FDB50C3-56D2-42C2-B728-7719148AF7F0}"/>
    <dataValidation type="whole" allowBlank="1" showInputMessage="1" showErrorMessage="1" errorTitle="Achtung, Sabotage-Akt" error="Du darfst hier nichts ändern, ergänzen oder gar löschen!" sqref="K1:P3" xr:uid="{E7A053AA-B393-49F3-959E-D652037E3E43}">
      <formula1>2.0001050640654E+39</formula1>
      <formula2>2.0001050640654E+39</formula2>
    </dataValidation>
    <dataValidation type="whole" allowBlank="1" showInputMessage="1" showErrorMessage="1" errorTitle="Achtung, Sabotage-Akt" error="Die Daten aktualisieren sich von selbst und bedürfen keiner manuellen Nachbearbeitung._x000a_Aber danke, dass du es trotzdem versucht hast!" sqref="R11:R12" xr:uid="{BC1B7388-80EF-4A58-8E40-93A33FA130C9}">
      <formula1>5.00050987065403E+39</formula1>
      <formula2>5.00050987065403E+39</formula2>
    </dataValidation>
    <dataValidation type="whole" allowBlank="1" showInputMessage="1" showErrorMessage="1" errorTitle="Achtung, Sabotage-Akt" error="Die Daten aktualisieren sich von selbst und bedürfen keiner manuellen Nachbearbeitung._x000a_Aber danke, dass du es trotzdem versucht hast!" sqref="K11:Q12" xr:uid="{41DACE00-1AB6-4205-9353-A09955C0898E}">
      <formula1>1.00004564054032E+39</formula1>
      <formula2>1.00004564054032E+39</formula2>
    </dataValidation>
    <dataValidation type="whole" allowBlank="1" showInputMessage="1" showErrorMessage="1" sqref="K16:Q17" xr:uid="{7AC3FA32-809A-4F70-AC00-670D3576B5F6}">
      <formula1>0</formula1>
      <formula2>300</formula2>
    </dataValidation>
    <dataValidation type="whole" allowBlank="1" showInputMessage="1" showErrorMessage="1" errorTitle="Achtung, Sabotage-Akt" error="Die Daten aktualisieren sich von selbst und bedürfen keiner manuellen Nachbearbeitung._x000a_Aber danke, dass du es trotzdem versucht hast!" sqref="A16:J17 A18:R19 R14:R15 Q14:Q15 L14:L15 M14:M15 N14:N15 O14:O15 P14:P15" xr:uid="{6B0C68AF-33BB-4802-BDFF-8287C7B65953}">
      <formula1>1.00000100203021E+39</formula1>
      <formula2>1.00000100203021E+39</formula2>
    </dataValidation>
    <dataValidation type="whole" allowBlank="1" showInputMessage="1" showErrorMessage="1" errorTitle="Achtungm Sabotage-Akt!" error="Die Daten aktualisieren sich von selbst und bedürfen keiner manuellen Nachbearbeitung. _x000a_Aber danke, dass du es trotzdem versucht hast!" sqref="R16:R17" xr:uid="{77E08225-7BFB-44B1-9FF4-7D91D2353977}">
      <formula1>1.00000000105046E+39</formula1>
      <formula2>1.00000000105046E+39</formula2>
    </dataValidation>
    <dataValidation type="whole" allowBlank="1" showInputMessage="1" showErrorMessage="1" errorTitle="Achtung, Sabotage-Akt" error="Die Daten aktualisieren sich von selbst und bedürfen keiner manuellen Nachbearbeitung._x000a_Aber danke, dass du es trotzdem versucht hast!" sqref="A14:J15" xr:uid="{21DCEBC7-BF4E-420B-B71A-B92A4137FAE8}">
      <formula1>1.00000046070908E+39</formula1>
      <formula2>1.00000046070908E+39</formula2>
    </dataValidation>
    <dataValidation type="whole" allowBlank="1" showInputMessage="1" showErrorMessage="1" errorTitle="Achtung, Sabotage-Akt!" error="Du darfst hier nichts ändern, ergänzen oder gar löschen!" sqref="K8:R9" xr:uid="{64953919-6C5C-4DA0-AD6E-FDC8C1390465}">
      <formula1>1.00000005065409E+39</formula1>
      <formula2>1.00000005065409E+39</formula2>
    </dataValidation>
    <dataValidation type="whole" allowBlank="1" showInputMessage="1" showErrorMessage="1" errorTitle="Achtung, fehlerhafte Eingabe!" error="Deine Eingabe ist entweder lächerlich gering oder zu hochgegriffen! Versuche es mal mit Werten zwischen 2 und 300." sqref="K14:K15" xr:uid="{79687BAE-08A0-4170-B1AB-175FAAAD5D11}">
      <formula1>2</formula1>
      <formula2>300</formula2>
    </dataValidation>
  </dataValidation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D34B1-7497-42FE-B180-866A72A01A0C}">
  <dimension ref="A1:R43"/>
  <sheetViews>
    <sheetView topLeftCell="A8" zoomScaleNormal="100" workbookViewId="0">
      <selection activeCell="L14" sqref="L14:R15"/>
    </sheetView>
  </sheetViews>
  <sheetFormatPr baseColWidth="10" defaultRowHeight="15" x14ac:dyDescent="0.25"/>
  <cols>
    <col min="1" max="10" width="2.85546875" customWidth="1"/>
    <col min="11" max="11" width="11.42578125" customWidth="1"/>
    <col min="13" max="13" width="12.7109375" customWidth="1"/>
    <col min="14" max="14" width="11.85546875" customWidth="1"/>
    <col min="15" max="15" width="12.42578125" customWidth="1"/>
    <col min="16" max="16" width="10.28515625" customWidth="1"/>
    <col min="19" max="19" width="1.42578125" customWidth="1"/>
  </cols>
  <sheetData>
    <row r="1" spans="1:18" ht="15" customHeight="1" x14ac:dyDescent="0.25">
      <c r="A1" s="85"/>
      <c r="B1" s="85"/>
      <c r="C1" s="85"/>
      <c r="D1" s="85"/>
      <c r="E1" s="85"/>
      <c r="F1" s="85"/>
      <c r="G1" s="85"/>
      <c r="H1" s="85"/>
      <c r="I1" s="85"/>
      <c r="J1" s="85"/>
      <c r="K1" s="116" t="str">
        <f>IF(Start!K7="English","Squats",IF(Start!K7="Español","Sentadillas","Kniebeugen"))</f>
        <v>Kniebeugen</v>
      </c>
      <c r="L1" s="116"/>
      <c r="M1" s="116"/>
      <c r="N1" s="116"/>
      <c r="O1" s="116"/>
      <c r="P1" s="116"/>
      <c r="Q1" s="116"/>
    </row>
    <row r="2" spans="1:18" ht="15" customHeight="1" x14ac:dyDescent="0.25">
      <c r="A2" s="85"/>
      <c r="B2" s="85"/>
      <c r="C2" s="85"/>
      <c r="D2" s="85"/>
      <c r="E2" s="85"/>
      <c r="F2" s="85"/>
      <c r="G2" s="85"/>
      <c r="H2" s="85"/>
      <c r="I2" s="85"/>
      <c r="J2" s="85"/>
      <c r="K2" s="116"/>
      <c r="L2" s="116"/>
      <c r="M2" s="116"/>
      <c r="N2" s="116"/>
      <c r="O2" s="116"/>
      <c r="P2" s="116"/>
      <c r="Q2" s="116"/>
    </row>
    <row r="3" spans="1:18" x14ac:dyDescent="0.25">
      <c r="A3" s="85"/>
      <c r="B3" s="85"/>
      <c r="C3" s="85"/>
      <c r="D3" s="85"/>
      <c r="E3" s="85"/>
      <c r="F3" s="85"/>
      <c r="G3" s="85"/>
      <c r="H3" s="85"/>
      <c r="I3" s="85"/>
      <c r="J3" s="85"/>
      <c r="K3" s="116"/>
      <c r="L3" s="116"/>
      <c r="M3" s="116"/>
      <c r="N3" s="116"/>
      <c r="O3" s="116"/>
      <c r="P3" s="116"/>
      <c r="Q3" s="74"/>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8" spans="1:18" x14ac:dyDescent="0.25">
      <c r="B8" s="79" t="str">
        <f>IF(Start!K7="English","Start",IF(Start!K7="Español","Inicio","Start"))</f>
        <v>Start</v>
      </c>
      <c r="C8" s="79"/>
      <c r="D8" s="79"/>
      <c r="E8" s="79"/>
      <c r="F8" s="79"/>
      <c r="G8" s="79"/>
      <c r="H8" s="79"/>
      <c r="K8" s="171" t="str">
        <f>IF(Start!K7="English","Enter your completed squats here. "&amp;"You should do 10 squats per day, but do them correctly!",IF(Start!K7="Español","Introduce aquí tus sentadillas completadas. "&amp;" Debes acer 10 sentadillas al día, ¡pero hazlas correctamente!","Trage hier deine absolvierten Kniebeugen ein."&amp;" 10 Stück pro Tag sollten es sein, diese aber korrekt ausgeführt!"))</f>
        <v>Trage hier deine absolvierten Kniebeugen ein. 10 Stück pro Tag sollten es sein, diese aber korrekt ausgeführt!</v>
      </c>
      <c r="L8" s="172"/>
      <c r="M8" s="172"/>
      <c r="N8" s="172"/>
      <c r="O8" s="172"/>
      <c r="P8" s="172"/>
      <c r="Q8" s="172"/>
      <c r="R8" s="173"/>
    </row>
    <row r="9" spans="1:18" x14ac:dyDescent="0.25">
      <c r="B9" s="79"/>
      <c r="C9" s="79"/>
      <c r="D9" s="79"/>
      <c r="E9" s="79"/>
      <c r="F9" s="79"/>
      <c r="G9" s="79"/>
      <c r="H9" s="79"/>
      <c r="K9" s="174"/>
      <c r="L9" s="175"/>
      <c r="M9" s="175"/>
      <c r="N9" s="175"/>
      <c r="O9" s="175"/>
      <c r="P9" s="175"/>
      <c r="Q9" s="175"/>
      <c r="R9" s="176"/>
    </row>
    <row r="11" spans="1:18" ht="15" customHeight="1" x14ac:dyDescent="0.25">
      <c r="A11" s="79" t="str">
        <f>IF(Start!K7="English","Fitness",IF(Start!K7="Español","Fitness","Fitness"))</f>
        <v>Fitness</v>
      </c>
      <c r="B11" s="84"/>
      <c r="C11" s="84"/>
      <c r="D11" s="84"/>
      <c r="E11" s="84"/>
      <c r="F11" s="84"/>
      <c r="G11" s="84"/>
      <c r="H11" s="84"/>
      <c r="I11" s="84"/>
      <c r="K11" s="183" t="str">
        <f>IF(Start!K7="English","Sunday",IF(Start!K7="Español","Domingo","Sonntag"))</f>
        <v>Sonntag</v>
      </c>
      <c r="L11" s="183" t="str">
        <f>IF(Start!K7="English","Monday",IF(Start!K7="Español","Lunes","Montag"))</f>
        <v>Montag</v>
      </c>
      <c r="M11" s="183" t="str">
        <f>IF(Start!K7="English","Tuesday",IF(Start!K7="Español","Martes","Dienstag"))</f>
        <v>Dienstag</v>
      </c>
      <c r="N11" s="183" t="str">
        <f>IF(Start!K7="English","Wednesday",IF(Start!K7="Español","Miércoles","Mittwoch"))</f>
        <v>Mittwoch</v>
      </c>
      <c r="O11" s="183" t="str">
        <f>IF(Start!K7="English","Thursday",IF(Start!K7="Español","Jueves","Donnerstag"))</f>
        <v>Donnerstag</v>
      </c>
      <c r="P11" s="183" t="str">
        <f>IF(Start!K7="English","Friday",IF(Start!K7="Español","Viernes","Freitag"))</f>
        <v>Freitag</v>
      </c>
      <c r="Q11" s="183" t="str">
        <f>IF(Start!K7="English","Saturday",IF(Start!K7="Español","Sábado","Samstag"))</f>
        <v>Samstag</v>
      </c>
      <c r="R11" s="184" t="str">
        <f>IF(Start!K7="English","Average",IF(Start!K7="Español","Media","Durchschnitt"))</f>
        <v>Durchschnitt</v>
      </c>
    </row>
    <row r="12" spans="1:18" ht="15" customHeight="1" x14ac:dyDescent="0.25">
      <c r="A12" s="84"/>
      <c r="B12" s="84"/>
      <c r="C12" s="84"/>
      <c r="D12" s="84"/>
      <c r="E12" s="84"/>
      <c r="F12" s="84"/>
      <c r="G12" s="84"/>
      <c r="H12" s="84"/>
      <c r="I12" s="84"/>
      <c r="K12" s="183"/>
      <c r="L12" s="183"/>
      <c r="M12" s="183"/>
      <c r="N12" s="183"/>
      <c r="O12" s="183"/>
      <c r="P12" s="183"/>
      <c r="Q12" s="183"/>
      <c r="R12" s="184"/>
    </row>
    <row r="13" spans="1:18" x14ac:dyDescent="0.25">
      <c r="M13" s="3"/>
      <c r="N13" s="3"/>
      <c r="O13" s="3"/>
    </row>
    <row r="14" spans="1:18" ht="15" customHeight="1" x14ac:dyDescent="0.25">
      <c r="A14" s="185" t="str">
        <f>IF(Start!K7="English","Directive",IF(Start!K7="Español","Directiva","Richtlinie"))</f>
        <v>Richtlinie</v>
      </c>
      <c r="B14" s="185"/>
      <c r="C14" s="185"/>
      <c r="D14" s="185"/>
      <c r="E14" s="185"/>
      <c r="F14" s="185"/>
      <c r="G14" s="185"/>
      <c r="H14" s="185"/>
      <c r="I14" s="185"/>
      <c r="J14" s="185"/>
      <c r="K14" s="197">
        <v>10</v>
      </c>
      <c r="L14" s="187">
        <f>K14</f>
        <v>10</v>
      </c>
      <c r="M14" s="187">
        <f>L14</f>
        <v>10</v>
      </c>
      <c r="N14" s="187">
        <f t="shared" ref="N14:R14" si="0">M14</f>
        <v>10</v>
      </c>
      <c r="O14" s="187">
        <f t="shared" si="0"/>
        <v>10</v>
      </c>
      <c r="P14" s="187">
        <f t="shared" si="0"/>
        <v>10</v>
      </c>
      <c r="Q14" s="187">
        <f t="shared" si="0"/>
        <v>10</v>
      </c>
      <c r="R14" s="187">
        <f t="shared" si="0"/>
        <v>10</v>
      </c>
    </row>
    <row r="15" spans="1:18" ht="15" customHeight="1" x14ac:dyDescent="0.25">
      <c r="A15" s="185"/>
      <c r="B15" s="185"/>
      <c r="C15" s="185"/>
      <c r="D15" s="185"/>
      <c r="E15" s="185"/>
      <c r="F15" s="185"/>
      <c r="G15" s="185"/>
      <c r="H15" s="185"/>
      <c r="I15" s="185"/>
      <c r="J15" s="185"/>
      <c r="K15" s="197"/>
      <c r="L15" s="187"/>
      <c r="M15" s="187"/>
      <c r="N15" s="187"/>
      <c r="O15" s="187"/>
      <c r="P15" s="187"/>
      <c r="Q15" s="187"/>
      <c r="R15" s="187"/>
    </row>
    <row r="16" spans="1:18" x14ac:dyDescent="0.25">
      <c r="A16" s="185" t="str">
        <f>IF(Start!K7="English","Squats",IF(Start!K7="Español","Sentadillas","Kniebeuge"))</f>
        <v>Kniebeuge</v>
      </c>
      <c r="B16" s="185"/>
      <c r="C16" s="185"/>
      <c r="D16" s="185"/>
      <c r="E16" s="185"/>
      <c r="F16" s="185"/>
      <c r="G16" s="185"/>
      <c r="H16" s="185"/>
      <c r="I16" s="185"/>
      <c r="J16" s="185"/>
      <c r="K16" s="188">
        <v>0</v>
      </c>
      <c r="L16" s="188">
        <v>0</v>
      </c>
      <c r="M16" s="188">
        <v>0</v>
      </c>
      <c r="N16" s="188">
        <v>0</v>
      </c>
      <c r="O16" s="188">
        <v>0</v>
      </c>
      <c r="P16" s="188">
        <v>0</v>
      </c>
      <c r="Q16" s="188">
        <v>0</v>
      </c>
      <c r="R16" s="195">
        <f>ROUNDUP((K16+L16+M16+N16+O16+P16+Q16)/7,0)</f>
        <v>0</v>
      </c>
    </row>
    <row r="17" spans="1:18" ht="15" customHeight="1" x14ac:dyDescent="0.25">
      <c r="A17" s="185"/>
      <c r="B17" s="185"/>
      <c r="C17" s="185"/>
      <c r="D17" s="185"/>
      <c r="E17" s="185"/>
      <c r="F17" s="185"/>
      <c r="G17" s="185"/>
      <c r="H17" s="185"/>
      <c r="I17" s="185"/>
      <c r="J17" s="185"/>
      <c r="K17" s="194"/>
      <c r="L17" s="194"/>
      <c r="M17" s="194"/>
      <c r="N17" s="194"/>
      <c r="O17" s="194"/>
      <c r="P17" s="194"/>
      <c r="Q17" s="194"/>
      <c r="R17" s="196"/>
    </row>
    <row r="18" spans="1:18" ht="15" customHeight="1" x14ac:dyDescent="0.25">
      <c r="A18" s="185" t="str">
        <f>IF(Start!K7="English","Percentage",IF(Start!K7="Español","Porcentaje","Prozentual"))</f>
        <v>Prozentual</v>
      </c>
      <c r="B18" s="185"/>
      <c r="C18" s="185"/>
      <c r="D18" s="185"/>
      <c r="E18" s="185"/>
      <c r="F18" s="185"/>
      <c r="G18" s="185"/>
      <c r="H18" s="185"/>
      <c r="I18" s="185"/>
      <c r="J18" s="185"/>
      <c r="K18" s="192" t="str">
        <f>ROUNDDOWN(100*K16/K14,2)&amp;" %"</f>
        <v>0 %</v>
      </c>
      <c r="L18" s="192" t="str">
        <f>ROUNDDOWN(100*L16/L14,2)&amp;" %"</f>
        <v>0 %</v>
      </c>
      <c r="M18" s="192" t="str">
        <f>ROUNDDOWN(100*M16/M14,2)&amp;" %"</f>
        <v>0 %</v>
      </c>
      <c r="N18" s="192" t="str">
        <f t="shared" ref="N18:R18" si="1">ROUNDDOWN(100*N16/N14,2)&amp;" %"</f>
        <v>0 %</v>
      </c>
      <c r="O18" s="192" t="str">
        <f t="shared" si="1"/>
        <v>0 %</v>
      </c>
      <c r="P18" s="192" t="str">
        <f t="shared" si="1"/>
        <v>0 %</v>
      </c>
      <c r="Q18" s="192" t="str">
        <f t="shared" si="1"/>
        <v>0 %</v>
      </c>
      <c r="R18" s="192" t="str">
        <f t="shared" si="1"/>
        <v>0 %</v>
      </c>
    </row>
    <row r="19" spans="1:18" x14ac:dyDescent="0.25">
      <c r="A19" s="185"/>
      <c r="B19" s="185"/>
      <c r="C19" s="185"/>
      <c r="D19" s="185"/>
      <c r="E19" s="185"/>
      <c r="F19" s="185"/>
      <c r="G19" s="185"/>
      <c r="H19" s="185"/>
      <c r="I19" s="185"/>
      <c r="J19" s="185"/>
      <c r="K19" s="198"/>
      <c r="L19" s="198"/>
      <c r="M19" s="198"/>
      <c r="N19" s="198"/>
      <c r="O19" s="198"/>
      <c r="P19" s="198"/>
      <c r="Q19" s="198"/>
      <c r="R19" s="198"/>
    </row>
    <row r="20" spans="1:18" x14ac:dyDescent="0.25">
      <c r="A20" s="145"/>
      <c r="B20" s="145"/>
      <c r="C20" s="145"/>
      <c r="D20" s="145"/>
      <c r="E20" s="145"/>
      <c r="F20" s="145"/>
      <c r="G20" s="145"/>
      <c r="H20" s="145"/>
      <c r="I20" s="145"/>
      <c r="J20" s="145"/>
    </row>
    <row r="21" spans="1:18" x14ac:dyDescent="0.25">
      <c r="A21" s="145"/>
      <c r="B21" s="145"/>
      <c r="C21" s="145"/>
      <c r="D21" s="145"/>
      <c r="E21" s="145"/>
      <c r="F21" s="145"/>
      <c r="G21" s="145"/>
      <c r="H21" s="145"/>
      <c r="I21" s="145"/>
      <c r="J21" s="145"/>
      <c r="M21" s="28"/>
    </row>
    <row r="22" spans="1:18" x14ac:dyDescent="0.25">
      <c r="N22" t="s">
        <v>0</v>
      </c>
    </row>
    <row r="23" spans="1:18" ht="15" customHeight="1" x14ac:dyDescent="0.25">
      <c r="A23" s="79"/>
      <c r="B23" s="84"/>
      <c r="C23" s="84"/>
      <c r="D23" s="84"/>
      <c r="E23" s="84"/>
      <c r="F23" s="84"/>
      <c r="G23" s="84"/>
      <c r="H23" s="84"/>
      <c r="I23" s="84"/>
      <c r="J23" s="9"/>
      <c r="K23" s="9"/>
      <c r="L23" s="9"/>
      <c r="M23" s="9"/>
      <c r="N23" s="9"/>
      <c r="O23" s="9"/>
      <c r="P23" s="9"/>
      <c r="Q23" s="9"/>
    </row>
    <row r="24" spans="1:18" ht="15" customHeight="1" x14ac:dyDescent="0.25">
      <c r="A24" s="84"/>
      <c r="B24" s="84"/>
      <c r="C24" s="84"/>
      <c r="D24" s="84"/>
      <c r="E24" s="84"/>
      <c r="F24" s="84"/>
      <c r="G24" s="84"/>
      <c r="H24" s="84"/>
      <c r="I24" s="84"/>
      <c r="J24" s="29"/>
      <c r="K24" s="29"/>
      <c r="L24" s="29"/>
      <c r="M24" s="29"/>
      <c r="N24" s="29"/>
      <c r="O24" s="29"/>
      <c r="P24" s="29"/>
      <c r="Q24" s="29"/>
    </row>
    <row r="25" spans="1:18" x14ac:dyDescent="0.25">
      <c r="E25" s="29"/>
      <c r="F25" s="29"/>
      <c r="G25" s="29"/>
      <c r="H25" s="29"/>
      <c r="I25" s="29"/>
      <c r="J25" s="29"/>
      <c r="K25" s="29"/>
      <c r="L25" s="29"/>
      <c r="M25" s="29"/>
      <c r="N25" s="29"/>
      <c r="O25" s="29"/>
      <c r="P25" s="29"/>
      <c r="Q25" s="29"/>
    </row>
    <row r="26" spans="1:18" x14ac:dyDescent="0.25">
      <c r="J26" s="29"/>
      <c r="K26" s="29"/>
      <c r="L26" s="29"/>
      <c r="M26" s="29"/>
      <c r="N26" s="29"/>
      <c r="O26" s="29"/>
      <c r="P26" s="29"/>
      <c r="Q26" s="29"/>
    </row>
    <row r="27" spans="1:18" x14ac:dyDescent="0.25">
      <c r="J27" s="29"/>
      <c r="K27" s="29"/>
      <c r="L27" s="29"/>
      <c r="M27" s="29"/>
      <c r="N27" s="29"/>
      <c r="O27" s="29"/>
      <c r="P27" s="29"/>
      <c r="Q27" s="29"/>
    </row>
    <row r="28" spans="1:18" x14ac:dyDescent="0.25">
      <c r="E28" s="29"/>
      <c r="F28" s="29"/>
      <c r="G28" s="29"/>
      <c r="H28" s="29"/>
      <c r="I28" s="29"/>
      <c r="J28" s="29"/>
      <c r="K28" s="29"/>
      <c r="L28" s="29"/>
      <c r="M28" s="29"/>
      <c r="N28" s="29"/>
      <c r="O28" s="29"/>
      <c r="P28" s="29"/>
      <c r="Q28" s="29"/>
    </row>
    <row r="29" spans="1:18" x14ac:dyDescent="0.25">
      <c r="A29" s="85"/>
      <c r="B29" s="85"/>
      <c r="C29" s="85"/>
      <c r="D29" s="85"/>
      <c r="E29" s="85"/>
      <c r="F29" s="85"/>
      <c r="G29" s="85"/>
      <c r="H29" s="85"/>
      <c r="I29" s="85"/>
      <c r="J29" s="29"/>
      <c r="K29" s="29"/>
      <c r="L29" s="29"/>
      <c r="M29" s="29"/>
      <c r="N29" s="29"/>
      <c r="O29" s="29"/>
      <c r="P29" s="29"/>
      <c r="Q29" s="29"/>
    </row>
    <row r="30" spans="1:18" x14ac:dyDescent="0.25">
      <c r="A30" s="85"/>
      <c r="B30" s="85"/>
      <c r="C30" s="85"/>
      <c r="D30" s="85"/>
      <c r="E30" s="85"/>
      <c r="F30" s="85"/>
      <c r="G30" s="85"/>
      <c r="H30" s="85"/>
      <c r="I30" s="85"/>
      <c r="J30" s="29"/>
      <c r="K30" s="29"/>
      <c r="L30" s="29"/>
      <c r="M30" s="29"/>
      <c r="N30" s="29"/>
      <c r="O30" s="29"/>
      <c r="P30" s="29"/>
      <c r="Q30" s="29"/>
    </row>
    <row r="31" spans="1:18" x14ac:dyDescent="0.25">
      <c r="E31" s="29"/>
      <c r="F31" s="29"/>
      <c r="G31" s="29"/>
      <c r="H31" s="29"/>
      <c r="I31" s="29"/>
      <c r="J31" s="29"/>
      <c r="K31" s="29"/>
      <c r="L31" s="29"/>
      <c r="M31" s="29"/>
      <c r="N31" s="29"/>
      <c r="O31" s="29"/>
      <c r="P31" s="29"/>
      <c r="Q31" s="29"/>
    </row>
    <row r="32" spans="1:18" x14ac:dyDescent="0.25">
      <c r="A32" s="85"/>
      <c r="B32" s="85"/>
      <c r="C32" s="85"/>
      <c r="D32" s="85"/>
      <c r="E32" s="85"/>
      <c r="F32" s="85"/>
      <c r="G32" s="85"/>
      <c r="H32" s="85"/>
      <c r="I32" s="85"/>
      <c r="J32" s="29"/>
      <c r="K32" s="29"/>
      <c r="L32" s="29"/>
      <c r="M32" s="29"/>
      <c r="N32" s="29"/>
      <c r="O32" s="29"/>
      <c r="P32" s="29"/>
      <c r="Q32" s="29"/>
    </row>
    <row r="33" spans="1:17" x14ac:dyDescent="0.25">
      <c r="A33" s="85"/>
      <c r="B33" s="85"/>
      <c r="C33" s="85"/>
      <c r="D33" s="85"/>
      <c r="E33" s="85"/>
      <c r="F33" s="85"/>
      <c r="G33" s="85"/>
      <c r="H33" s="85"/>
      <c r="I33" s="85"/>
      <c r="J33" s="29"/>
      <c r="K33" s="29"/>
      <c r="L33" s="29"/>
      <c r="M33" s="29"/>
      <c r="N33" s="29"/>
      <c r="O33" s="29"/>
      <c r="P33" s="29"/>
      <c r="Q33" s="29"/>
    </row>
    <row r="34" spans="1:17" x14ac:dyDescent="0.25">
      <c r="E34" s="29"/>
      <c r="F34" s="29"/>
      <c r="G34" s="29"/>
      <c r="H34" s="29"/>
      <c r="I34" s="29"/>
      <c r="J34" s="29"/>
      <c r="K34" s="29"/>
      <c r="L34" s="29"/>
      <c r="M34" s="29"/>
      <c r="N34" s="29"/>
      <c r="O34" s="29"/>
      <c r="P34" s="29"/>
      <c r="Q34" s="29"/>
    </row>
    <row r="35" spans="1:17" x14ac:dyDescent="0.25">
      <c r="A35" s="85"/>
      <c r="B35" s="85"/>
      <c r="C35" s="85"/>
      <c r="D35" s="85"/>
      <c r="E35" s="85"/>
      <c r="F35" s="85"/>
      <c r="G35" s="85"/>
      <c r="H35" s="85"/>
      <c r="I35" s="85"/>
      <c r="J35" s="29"/>
      <c r="K35" s="29"/>
      <c r="L35" s="29"/>
      <c r="M35" s="29"/>
      <c r="N35" s="29"/>
      <c r="O35" s="29"/>
      <c r="P35" s="29"/>
      <c r="Q35" s="29"/>
    </row>
    <row r="36" spans="1:17" x14ac:dyDescent="0.25">
      <c r="A36" s="85"/>
      <c r="B36" s="85"/>
      <c r="C36" s="85"/>
      <c r="D36" s="85"/>
      <c r="E36" s="85"/>
      <c r="F36" s="85"/>
      <c r="G36" s="85"/>
      <c r="H36" s="85"/>
      <c r="I36" s="85"/>
      <c r="J36" s="29"/>
      <c r="K36" s="29"/>
      <c r="L36" s="29"/>
      <c r="M36" s="29"/>
      <c r="N36" s="29"/>
      <c r="O36" s="29"/>
      <c r="P36" s="29"/>
      <c r="Q36" s="29"/>
    </row>
    <row r="37" spans="1:17" x14ac:dyDescent="0.25">
      <c r="E37" s="29"/>
      <c r="F37" s="29"/>
      <c r="G37" s="29"/>
      <c r="H37" s="29"/>
      <c r="I37" s="29"/>
      <c r="J37" s="29"/>
      <c r="K37" s="29"/>
      <c r="L37" s="29"/>
      <c r="M37" s="29"/>
      <c r="N37" s="29"/>
      <c r="O37" s="29"/>
      <c r="P37" s="29"/>
      <c r="Q37" s="29"/>
    </row>
    <row r="38" spans="1:17" x14ac:dyDescent="0.25">
      <c r="A38" s="85"/>
      <c r="B38" s="85"/>
      <c r="C38" s="85"/>
      <c r="D38" s="85"/>
      <c r="E38" s="85"/>
      <c r="F38" s="85"/>
      <c r="G38" s="85"/>
      <c r="H38" s="85"/>
      <c r="I38" s="85"/>
      <c r="J38" s="29"/>
      <c r="K38" s="29"/>
      <c r="L38" s="29"/>
      <c r="M38" s="29"/>
      <c r="N38" s="29"/>
      <c r="O38" s="29"/>
      <c r="P38" s="29"/>
      <c r="Q38" s="29"/>
    </row>
    <row r="39" spans="1:17" x14ac:dyDescent="0.25">
      <c r="A39" s="85"/>
      <c r="B39" s="85"/>
      <c r="C39" s="85"/>
      <c r="D39" s="85"/>
      <c r="E39" s="85"/>
      <c r="F39" s="85"/>
      <c r="G39" s="85"/>
      <c r="H39" s="85"/>
      <c r="I39" s="85"/>
      <c r="J39" s="29"/>
      <c r="K39" s="29"/>
      <c r="L39" s="29"/>
      <c r="M39" s="29"/>
      <c r="N39" s="29"/>
      <c r="O39" s="29"/>
      <c r="P39" s="29"/>
      <c r="Q39" s="29"/>
    </row>
    <row r="40" spans="1:17" x14ac:dyDescent="0.25">
      <c r="E40" s="29"/>
      <c r="F40" s="29"/>
      <c r="G40" s="29"/>
      <c r="H40" s="29"/>
      <c r="I40" s="29"/>
      <c r="J40" s="29"/>
      <c r="K40" s="29"/>
      <c r="L40" s="29"/>
      <c r="M40" s="29"/>
      <c r="N40" s="29"/>
      <c r="O40" s="29"/>
      <c r="P40" s="29"/>
      <c r="Q40" s="29"/>
    </row>
    <row r="41" spans="1:17" x14ac:dyDescent="0.25">
      <c r="E41" s="29"/>
      <c r="F41" s="29"/>
      <c r="G41" s="29"/>
      <c r="H41" s="29"/>
      <c r="I41" s="29"/>
      <c r="J41" s="29"/>
      <c r="K41" s="29"/>
      <c r="L41" s="29"/>
      <c r="M41" s="29"/>
      <c r="N41" s="29"/>
      <c r="O41" s="29"/>
      <c r="P41" s="29"/>
      <c r="Q41" s="29"/>
    </row>
    <row r="42" spans="1:17" x14ac:dyDescent="0.25">
      <c r="E42" s="10"/>
      <c r="F42" s="10"/>
      <c r="G42" s="10"/>
      <c r="H42" s="10"/>
      <c r="I42" s="10"/>
      <c r="J42" s="10"/>
      <c r="K42" s="10"/>
      <c r="L42" s="10"/>
      <c r="M42" s="10"/>
      <c r="N42" s="10"/>
      <c r="O42" s="10"/>
      <c r="P42" s="10"/>
      <c r="Q42" s="10"/>
    </row>
    <row r="43" spans="1:17" x14ac:dyDescent="0.25">
      <c r="E43" s="10"/>
      <c r="F43" s="10"/>
      <c r="G43" s="10"/>
      <c r="H43" s="10"/>
      <c r="I43" s="10"/>
      <c r="J43" s="10"/>
      <c r="K43" s="10"/>
      <c r="L43" s="10"/>
      <c r="M43" s="10"/>
      <c r="N43" s="10"/>
      <c r="O43" s="10"/>
      <c r="P43" s="10"/>
      <c r="Q43" s="10"/>
    </row>
  </sheetData>
  <mergeCells count="51">
    <mergeCell ref="A1:J3"/>
    <mergeCell ref="K1:P3"/>
    <mergeCell ref="Q1:Q2"/>
    <mergeCell ref="A4:J5"/>
    <mergeCell ref="K4:P5"/>
    <mergeCell ref="Q4:R4"/>
    <mergeCell ref="Q5:R5"/>
    <mergeCell ref="B8:H9"/>
    <mergeCell ref="K8:R9"/>
    <mergeCell ref="A11:I12"/>
    <mergeCell ref="K11:K12"/>
    <mergeCell ref="L11:L12"/>
    <mergeCell ref="M11:M12"/>
    <mergeCell ref="N11:N12"/>
    <mergeCell ref="O11:O12"/>
    <mergeCell ref="P11:P12"/>
    <mergeCell ref="Q11:Q12"/>
    <mergeCell ref="R11:R12"/>
    <mergeCell ref="A14:J15"/>
    <mergeCell ref="K14:K15"/>
    <mergeCell ref="L14:L15"/>
    <mergeCell ref="M14:M15"/>
    <mergeCell ref="N14:N15"/>
    <mergeCell ref="O14:O15"/>
    <mergeCell ref="P14:P15"/>
    <mergeCell ref="Q14:Q15"/>
    <mergeCell ref="R14:R15"/>
    <mergeCell ref="P16:P17"/>
    <mergeCell ref="Q16:Q17"/>
    <mergeCell ref="R16:R17"/>
    <mergeCell ref="O16:O17"/>
    <mergeCell ref="A18:J19"/>
    <mergeCell ref="K18:K19"/>
    <mergeCell ref="L18:L19"/>
    <mergeCell ref="M18:M19"/>
    <mergeCell ref="N18:N19"/>
    <mergeCell ref="A16:J17"/>
    <mergeCell ref="K16:K17"/>
    <mergeCell ref="L16:L17"/>
    <mergeCell ref="M16:M17"/>
    <mergeCell ref="N16:N17"/>
    <mergeCell ref="A35:I36"/>
    <mergeCell ref="A38:I39"/>
    <mergeCell ref="Q18:Q19"/>
    <mergeCell ref="R18:R19"/>
    <mergeCell ref="A20:J21"/>
    <mergeCell ref="A23:I24"/>
    <mergeCell ref="A29:I30"/>
    <mergeCell ref="A32:I33"/>
    <mergeCell ref="O18:O19"/>
    <mergeCell ref="P18:P19"/>
  </mergeCells>
  <dataValidations count="15">
    <dataValidation type="whole" allowBlank="1" showInputMessage="1" showErrorMessage="1" errorTitle="Achtungm Sabotage-Akt!" error="Die Daten aktualisieren sich von selbst und bedürfen keiner manuellen Nachbearbeitung. _x000a_Aber danke, dass du es trotzdem versucht hast!" sqref="R16:R17" xr:uid="{EBCF74A0-6624-41F8-9879-3EEFA9873941}">
      <formula1>1.00000000105046E+39</formula1>
      <formula2>1.00000000105046E+39</formula2>
    </dataValidation>
    <dataValidation type="whole" allowBlank="1" showInputMessage="1" showErrorMessage="1" errorTitle="Achtung, Sabotage-Akt" error="Die Daten aktualisieren sich von selbst und bedürfen keiner manuellen Nachbearbeitung._x000a_Aber danke, dass du es trotzdem versucht hast!" sqref="A18:R19 L14:R15" xr:uid="{05A8C6EA-8914-43F3-B1FB-DB8A9F82E4AD}">
      <formula1>1.00000100203021E+39</formula1>
      <formula2>1.00000100203021E+39</formula2>
    </dataValidation>
    <dataValidation type="whole" allowBlank="1" showInputMessage="1" showErrorMessage="1" sqref="K16:Q17" xr:uid="{FA79B1EB-1071-416E-9983-B922100A3CC1}">
      <formula1>0</formula1>
      <formula2>300</formula2>
    </dataValidation>
    <dataValidation type="whole" allowBlank="1" showInputMessage="1" showErrorMessage="1" errorTitle="Achtung, Sabotage-Akt" error="Die Daten aktualisieren sich von selbst und bedürfen keiner manuellen Nachbearbeitung._x000a_Aber danke, dass du es trotzdem versucht hast!" sqref="K11:Q12" xr:uid="{CD1D6C89-03A1-4D06-91C8-5CC4EAB362DE}">
      <formula1>1.00004564054032E+39</formula1>
      <formula2>1.00004564054032E+39</formula2>
    </dataValidation>
    <dataValidation type="whole" allowBlank="1" showInputMessage="1" showErrorMessage="1" errorTitle="Achtung, Sabotage-Akt" error="Die Daten aktualisieren sich von selbst und bedürfen keiner manuellen Nachbearbeitung._x000a_Aber danke, dass du es trotzdem versucht hast!" sqref="R11:R12" xr:uid="{C5343412-B060-46B6-92F2-7E7BA6495EDE}">
      <formula1>5.00050987065403E+39</formula1>
      <formula2>5.00050987065403E+39</formula2>
    </dataValidation>
    <dataValidation type="whole" allowBlank="1" showInputMessage="1" showErrorMessage="1" errorTitle="Achtung, Sabotage-Akt" error="Du darfst hier nichts ändern, ergänzen oder gar löschen!" sqref="K1:P3" xr:uid="{8DE2A6D0-1B43-44B2-9F45-3FC76B9B1483}">
      <formula1>4.000000000005E+39</formula1>
      <formula2>4.000000000005E+39</formula2>
    </dataValidation>
    <dataValidation allowBlank="1" errorTitle="Achtung, Sabotage-Akt!" error="Zellen, die grün markiert sind, eignen sich nicht zur Dateneingabe. Hier sind Formeln hinterlegt, welche nicht zerstört werden dürfen. Danke für dein Verständnis!" promptTitle="Wichtige Info!" prompt="Du darfst hier nichts eingeben, es wird alles automatisch berechnet!" sqref="M21" xr:uid="{3241A887-9B14-4F65-9561-98C2EC95EBF4}"/>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J23:Q41 E25:I25 E28:I28 E31:I31 E40:I41 E34:I34 E37:I37" xr:uid="{F5FE607B-FBA2-4E8F-AF3D-5B616D13BE2C}">
      <formula1>1.00001001001E+39</formula1>
      <formula2>1.00001001001E+39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4:R4 A4:J5" xr:uid="{C85427A4-5C75-4CA9-A6A6-339B43F54FD8}">
      <formula1>1.0000101010101E+39</formula1>
      <formula2>1.0000101010101E+39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5:R5" xr:uid="{0C89A2E1-273D-4CC4-A508-A0FE93BB9227}">
      <formula1>4.0000050640321E+39</formula1>
      <formula2>4.0000050640321E+39</formula2>
    </dataValidation>
    <dataValidation type="whole" allowBlank="1" showInputMessage="1" showErrorMessage="1" errorTitle="Achtung, Sabotage-Akt" error="Die Daten aktualisieren sich von selbst und bedürfen keiner manuellen Nachbearbeitung._x000a_Aber danke, dass du es trotzdem versucht hast!" sqref="Q3" xr:uid="{6BB468F4-DA0B-410A-82A5-4D2D4520BB91}">
      <formula1>1.000000104506E+39</formula1>
      <formula2>1.000000104506E+39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K4:P5" xr:uid="{A88BF7EA-F660-4C78-B754-BF7F624D5653}">
      <formula1>2.0000021031015E+39</formula1>
      <formula2>2.0000021031015E+39</formula2>
    </dataValidation>
    <dataValidation type="whole" allowBlank="1" showInputMessage="1" showErrorMessage="1" errorTitle="Achtung, Sabotage-Akt" error="Die Daten aktualisieren sich von selbst und bedürfen keiner manuellen Nachbearbeitung._x000a_Aber danke, dass du es trotzdem versucht hast!" sqref="A14:J15" xr:uid="{F39E4699-8779-4999-BF64-A8D79A5F78F2}">
      <formula1>1.00005006000201E+39</formula1>
      <formula2>1.00005006000201E+39</formula2>
    </dataValidation>
    <dataValidation type="whole" allowBlank="1" showInputMessage="1" showErrorMessage="1" errorTitle="Achtung, fehlerhafte Eingabe!" error="Deine Eingabe ist entweder lächerlich gering oder zu hochgegriffen! Versuche es mal mit Werten zwischen 2 und 300." sqref="K14:K15" xr:uid="{D10858FD-6D7A-46A6-8C3B-54CF11CB613C}">
      <formula1>2</formula1>
      <formula2>300</formula2>
    </dataValidation>
    <dataValidation type="whole" allowBlank="1" showInputMessage="1" showErrorMessage="1" errorTitle="Achtung, Sabotage-Akt" error="Die Daten aktualisieren sich von selbst und bedürfen keiner manuellen Nachbearbeitung._x000a_Aber danke, dass du es trotzdem versucht hast!" sqref="A16:J17" xr:uid="{6D10986E-1A2E-4CC9-81AD-84BD87233AAE}">
      <formula1>1.00005064097065E+39</formula1>
      <formula2>1.00005064097065E+39</formula2>
    </dataValidation>
  </dataValidation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3B9D2-D97B-4978-9BEA-E07C78B76231}">
  <dimension ref="A1:R43"/>
  <sheetViews>
    <sheetView zoomScaleNormal="100" workbookViewId="0">
      <selection activeCell="P16" sqref="P16:P17"/>
    </sheetView>
  </sheetViews>
  <sheetFormatPr baseColWidth="10" defaultRowHeight="15" x14ac:dyDescent="0.25"/>
  <cols>
    <col min="1" max="10" width="2.85546875" customWidth="1"/>
    <col min="11" max="11" width="11.42578125" customWidth="1"/>
    <col min="13" max="13" width="12.7109375" customWidth="1"/>
    <col min="14" max="14" width="11.85546875" customWidth="1"/>
    <col min="15" max="15" width="12.42578125" customWidth="1"/>
    <col min="16" max="16" width="10.28515625" customWidth="1"/>
    <col min="19" max="19" width="1.42578125" customWidth="1"/>
  </cols>
  <sheetData>
    <row r="1" spans="1:18" ht="15" customHeight="1" x14ac:dyDescent="0.25">
      <c r="A1" s="85"/>
      <c r="B1" s="85"/>
      <c r="C1" s="85"/>
      <c r="D1" s="85"/>
      <c r="E1" s="85"/>
      <c r="F1" s="85"/>
      <c r="G1" s="85"/>
      <c r="H1" s="85"/>
      <c r="I1" s="85"/>
      <c r="J1" s="85"/>
      <c r="K1" s="116" t="str">
        <f>IF(Start!K7="English","Push-ups",IF(Start!K7="Español","Flexiones","Liegestützen"))</f>
        <v>Liegestützen</v>
      </c>
      <c r="L1" s="116"/>
      <c r="M1" s="116"/>
      <c r="N1" s="116"/>
      <c r="O1" s="116"/>
      <c r="P1" s="116"/>
      <c r="Q1" s="116"/>
    </row>
    <row r="2" spans="1:18" ht="15" customHeight="1" x14ac:dyDescent="0.25">
      <c r="A2" s="85"/>
      <c r="B2" s="85"/>
      <c r="C2" s="85"/>
      <c r="D2" s="85"/>
      <c r="E2" s="85"/>
      <c r="F2" s="85"/>
      <c r="G2" s="85"/>
      <c r="H2" s="85"/>
      <c r="I2" s="85"/>
      <c r="J2" s="85"/>
      <c r="K2" s="116"/>
      <c r="L2" s="116"/>
      <c r="M2" s="116"/>
      <c r="N2" s="116"/>
      <c r="O2" s="116"/>
      <c r="P2" s="116"/>
      <c r="Q2" s="116"/>
    </row>
    <row r="3" spans="1:18" x14ac:dyDescent="0.25">
      <c r="A3" s="85"/>
      <c r="B3" s="85"/>
      <c r="C3" s="85"/>
      <c r="D3" s="85"/>
      <c r="E3" s="85"/>
      <c r="F3" s="85"/>
      <c r="G3" s="85"/>
      <c r="H3" s="85"/>
      <c r="I3" s="85"/>
      <c r="J3" s="85"/>
      <c r="K3" s="116"/>
      <c r="L3" s="116"/>
      <c r="M3" s="116"/>
      <c r="N3" s="116"/>
      <c r="O3" s="116"/>
      <c r="P3" s="116"/>
      <c r="Q3" s="74"/>
    </row>
    <row r="4" spans="1:18" ht="15.75" x14ac:dyDescent="0.25">
      <c r="A4" s="91" t="str">
        <f ca="1">Start!$A$4</f>
        <v>33. Kalenderwoche</v>
      </c>
      <c r="B4" s="91"/>
      <c r="C4" s="91"/>
      <c r="D4" s="91"/>
      <c r="E4" s="91"/>
      <c r="F4" s="91"/>
      <c r="G4" s="91"/>
      <c r="H4" s="91"/>
      <c r="I4" s="91"/>
      <c r="J4" s="91"/>
      <c r="K4" s="91" t="str">
        <f>IF(Start!K7="English","Hello "&amp;'Persönliche Daten'!M14&amp;"!",IF(Start!K7="Español","¡Hola "&amp;'Persönliche Daten'!M14&amp;"!","Hallo "&amp;'Persönliche Daten'!M14&amp;"!"))</f>
        <v>Hallo !</v>
      </c>
      <c r="L4" s="91"/>
      <c r="M4" s="91"/>
      <c r="N4" s="91"/>
      <c r="O4" s="91"/>
      <c r="P4" s="91"/>
      <c r="Q4" s="88">
        <f ca="1">Start!$Q$4</f>
        <v>45154</v>
      </c>
      <c r="R4" s="89"/>
    </row>
    <row r="5" spans="1:18" ht="15.75" x14ac:dyDescent="0.25">
      <c r="A5" s="91"/>
      <c r="B5" s="91"/>
      <c r="C5" s="91"/>
      <c r="D5" s="91"/>
      <c r="E5" s="91"/>
      <c r="F5" s="91"/>
      <c r="G5" s="91"/>
      <c r="H5" s="91"/>
      <c r="I5" s="91"/>
      <c r="J5" s="91"/>
      <c r="K5" s="91"/>
      <c r="L5" s="91"/>
      <c r="M5" s="91"/>
      <c r="N5" s="91"/>
      <c r="O5" s="91"/>
      <c r="P5" s="91"/>
      <c r="Q5" s="90" t="str">
        <f ca="1">Start!Q5</f>
        <v>19:34 Uhr</v>
      </c>
      <c r="R5" s="89"/>
    </row>
    <row r="8" spans="1:18" x14ac:dyDescent="0.25">
      <c r="B8" s="79" t="str">
        <f>IF(Start!K7="English","Start",IF(Start!K7="Español","Inicio","Start"))</f>
        <v>Start</v>
      </c>
      <c r="C8" s="79"/>
      <c r="D8" s="79"/>
      <c r="E8" s="79"/>
      <c r="F8" s="79"/>
      <c r="G8" s="79"/>
      <c r="H8" s="79"/>
      <c r="K8" s="171" t="str">
        <f>IF(Start!K7="English","Enter your completed push-ups here. "&amp;"You should do 10 push-ups per day, but do them correctly!",IF(Start!K7="Español","Introduce aquí tus flexiones completadas. "&amp;" Debes acer 10 flexiones al día, ¡pero hazlas correctamente!","Trage hier deine absolvierten Liegestützen ein."&amp;" 10 Stück pro Tag sollten es sein, diese aber korrekt ausgeführt!"))</f>
        <v>Trage hier deine absolvierten Liegestützen ein. 10 Stück pro Tag sollten es sein, diese aber korrekt ausgeführt!</v>
      </c>
      <c r="L8" s="172"/>
      <c r="M8" s="172"/>
      <c r="N8" s="172"/>
      <c r="O8" s="172"/>
      <c r="P8" s="172"/>
      <c r="Q8" s="172"/>
      <c r="R8" s="173"/>
    </row>
    <row r="9" spans="1:18" x14ac:dyDescent="0.25">
      <c r="B9" s="79"/>
      <c r="C9" s="79"/>
      <c r="D9" s="79"/>
      <c r="E9" s="79"/>
      <c r="F9" s="79"/>
      <c r="G9" s="79"/>
      <c r="H9" s="79"/>
      <c r="K9" s="174"/>
      <c r="L9" s="175"/>
      <c r="M9" s="175"/>
      <c r="N9" s="175"/>
      <c r="O9" s="175"/>
      <c r="P9" s="175"/>
      <c r="Q9" s="175"/>
      <c r="R9" s="176"/>
    </row>
    <row r="11" spans="1:18" ht="15" customHeight="1" x14ac:dyDescent="0.25">
      <c r="A11" s="79" t="str">
        <f>IF(Start!K7="English","Fitness",IF(Start!K7="Español","Fitness","Fitness"))</f>
        <v>Fitness</v>
      </c>
      <c r="B11" s="84"/>
      <c r="C11" s="84"/>
      <c r="D11" s="84"/>
      <c r="E11" s="84"/>
      <c r="F11" s="84"/>
      <c r="G11" s="84"/>
      <c r="H11" s="84"/>
      <c r="I11" s="84"/>
      <c r="K11" s="183" t="str">
        <f>IF(Start!K7="English","Sunday",IF(Start!K7="Español","Domingo","Sonntag"))</f>
        <v>Sonntag</v>
      </c>
      <c r="L11" s="183" t="str">
        <f>IF(Start!K7="English","Monday",IF(Start!K7="Español","Lunes","Montag"))</f>
        <v>Montag</v>
      </c>
      <c r="M11" s="183" t="str">
        <f>IF(Start!K7="English","Tuesday",IF(Start!K7="Español","Martes","Dienstag"))</f>
        <v>Dienstag</v>
      </c>
      <c r="N11" s="183" t="str">
        <f>IF(Start!K7="English","Wednesday",IF(Start!K7="Español","Miércoles","Mittwoch"))</f>
        <v>Mittwoch</v>
      </c>
      <c r="O11" s="183" t="str">
        <f>IF(Start!K7="English","Thursday",IF(Start!K7="Español","Jueves","Donnerstag"))</f>
        <v>Donnerstag</v>
      </c>
      <c r="P11" s="183" t="str">
        <f>IF(Start!K7="English","Friday",IF(Start!K7="Español","Viernes","Freitag"))</f>
        <v>Freitag</v>
      </c>
      <c r="Q11" s="183" t="str">
        <f>IF(Start!K7="English","Saturday",IF(Start!K7="Español","Sábado","Samstag"))</f>
        <v>Samstag</v>
      </c>
      <c r="R11" s="184" t="str">
        <f>IF(Start!K7="English","Average",IF(Start!K7="Español","Media","Durchschnitt"))</f>
        <v>Durchschnitt</v>
      </c>
    </row>
    <row r="12" spans="1:18" ht="15" customHeight="1" x14ac:dyDescent="0.25">
      <c r="A12" s="84"/>
      <c r="B12" s="84"/>
      <c r="C12" s="84"/>
      <c r="D12" s="84"/>
      <c r="E12" s="84"/>
      <c r="F12" s="84"/>
      <c r="G12" s="84"/>
      <c r="H12" s="84"/>
      <c r="I12" s="84"/>
      <c r="K12" s="183"/>
      <c r="L12" s="183"/>
      <c r="M12" s="183"/>
      <c r="N12" s="183"/>
      <c r="O12" s="183"/>
      <c r="P12" s="183"/>
      <c r="Q12" s="183"/>
      <c r="R12" s="184"/>
    </row>
    <row r="13" spans="1:18" x14ac:dyDescent="0.25">
      <c r="M13" s="3"/>
      <c r="N13" s="3"/>
      <c r="O13" s="3"/>
    </row>
    <row r="14" spans="1:18" ht="15" customHeight="1" x14ac:dyDescent="0.25">
      <c r="A14" s="185" t="str">
        <f>IF(Start!K7="English","Directive",IF(Start!K7="Español","Directiva","Richtlinie"))</f>
        <v>Richtlinie</v>
      </c>
      <c r="B14" s="185"/>
      <c r="C14" s="185"/>
      <c r="D14" s="185"/>
      <c r="E14" s="185"/>
      <c r="F14" s="185"/>
      <c r="G14" s="185"/>
      <c r="H14" s="185"/>
      <c r="I14" s="185"/>
      <c r="J14" s="185"/>
      <c r="K14" s="197">
        <v>10</v>
      </c>
      <c r="L14" s="187">
        <f>K14</f>
        <v>10</v>
      </c>
      <c r="M14" s="187">
        <f>L14</f>
        <v>10</v>
      </c>
      <c r="N14" s="187">
        <f t="shared" ref="N14:R14" si="0">M14</f>
        <v>10</v>
      </c>
      <c r="O14" s="187">
        <f t="shared" si="0"/>
        <v>10</v>
      </c>
      <c r="P14" s="187">
        <f t="shared" si="0"/>
        <v>10</v>
      </c>
      <c r="Q14" s="187">
        <f t="shared" si="0"/>
        <v>10</v>
      </c>
      <c r="R14" s="187">
        <f t="shared" si="0"/>
        <v>10</v>
      </c>
    </row>
    <row r="15" spans="1:18" ht="15" customHeight="1" x14ac:dyDescent="0.25">
      <c r="A15" s="185"/>
      <c r="B15" s="185"/>
      <c r="C15" s="185"/>
      <c r="D15" s="185"/>
      <c r="E15" s="185"/>
      <c r="F15" s="185"/>
      <c r="G15" s="185"/>
      <c r="H15" s="185"/>
      <c r="I15" s="185"/>
      <c r="J15" s="185"/>
      <c r="K15" s="197"/>
      <c r="L15" s="187"/>
      <c r="M15" s="187"/>
      <c r="N15" s="187"/>
      <c r="O15" s="187"/>
      <c r="P15" s="187"/>
      <c r="Q15" s="187"/>
      <c r="R15" s="187"/>
    </row>
    <row r="16" spans="1:18" x14ac:dyDescent="0.25">
      <c r="A16" s="185" t="str">
        <f>IF(Start!K7="English","Push-ups",IF(Start!K7="Español","Flexiones","Liegestütze"))</f>
        <v>Liegestütze</v>
      </c>
      <c r="B16" s="185"/>
      <c r="C16" s="185"/>
      <c r="D16" s="185"/>
      <c r="E16" s="185"/>
      <c r="F16" s="185"/>
      <c r="G16" s="185"/>
      <c r="H16" s="185"/>
      <c r="I16" s="185"/>
      <c r="J16" s="185"/>
      <c r="K16" s="188">
        <v>0</v>
      </c>
      <c r="L16" s="188">
        <v>0</v>
      </c>
      <c r="M16" s="188">
        <v>0</v>
      </c>
      <c r="N16" s="188">
        <v>0</v>
      </c>
      <c r="O16" s="188">
        <v>0</v>
      </c>
      <c r="P16" s="188">
        <v>0</v>
      </c>
      <c r="Q16" s="188">
        <v>0</v>
      </c>
      <c r="R16" s="195">
        <f>ROUNDUP((K16+L16+M16+N16+O16+P16+Q16)/7,0)</f>
        <v>0</v>
      </c>
    </row>
    <row r="17" spans="1:18" ht="15" customHeight="1" x14ac:dyDescent="0.25">
      <c r="A17" s="185"/>
      <c r="B17" s="185"/>
      <c r="C17" s="185"/>
      <c r="D17" s="185"/>
      <c r="E17" s="185"/>
      <c r="F17" s="185"/>
      <c r="G17" s="185"/>
      <c r="H17" s="185"/>
      <c r="I17" s="185"/>
      <c r="J17" s="185"/>
      <c r="K17" s="194"/>
      <c r="L17" s="194"/>
      <c r="M17" s="194"/>
      <c r="N17" s="194"/>
      <c r="O17" s="194"/>
      <c r="P17" s="194"/>
      <c r="Q17" s="194"/>
      <c r="R17" s="196"/>
    </row>
    <row r="18" spans="1:18" ht="15" customHeight="1" x14ac:dyDescent="0.25">
      <c r="A18" s="185" t="str">
        <f>IF(Start!K7="English","Percentage",IF(Start!K7="Español","Porcentaje","Prozentual"))</f>
        <v>Prozentual</v>
      </c>
      <c r="B18" s="185"/>
      <c r="C18" s="185"/>
      <c r="D18" s="185"/>
      <c r="E18" s="185"/>
      <c r="F18" s="185"/>
      <c r="G18" s="185"/>
      <c r="H18" s="185"/>
      <c r="I18" s="185"/>
      <c r="J18" s="185"/>
      <c r="K18" s="192" t="str">
        <f>ROUNDDOWN(100*K16/K14,2)&amp;" %"</f>
        <v>0 %</v>
      </c>
      <c r="L18" s="192" t="str">
        <f>ROUNDDOWN(100*L16/L14,2)&amp;" %"</f>
        <v>0 %</v>
      </c>
      <c r="M18" s="192" t="str">
        <f>ROUNDDOWN(100*M16/M14,2)&amp;" %"</f>
        <v>0 %</v>
      </c>
      <c r="N18" s="192" t="str">
        <f t="shared" ref="N18:R18" si="1">ROUNDDOWN(100*N16/N14,2)&amp;" %"</f>
        <v>0 %</v>
      </c>
      <c r="O18" s="192" t="str">
        <f t="shared" si="1"/>
        <v>0 %</v>
      </c>
      <c r="P18" s="192" t="str">
        <f t="shared" si="1"/>
        <v>0 %</v>
      </c>
      <c r="Q18" s="192" t="str">
        <f t="shared" si="1"/>
        <v>0 %</v>
      </c>
      <c r="R18" s="192" t="str">
        <f t="shared" si="1"/>
        <v>0 %</v>
      </c>
    </row>
    <row r="19" spans="1:18" x14ac:dyDescent="0.25">
      <c r="A19" s="185"/>
      <c r="B19" s="185"/>
      <c r="C19" s="185"/>
      <c r="D19" s="185"/>
      <c r="E19" s="185"/>
      <c r="F19" s="185"/>
      <c r="G19" s="185"/>
      <c r="H19" s="185"/>
      <c r="I19" s="185"/>
      <c r="J19" s="185"/>
      <c r="K19" s="198"/>
      <c r="L19" s="198"/>
      <c r="M19" s="198"/>
      <c r="N19" s="198"/>
      <c r="O19" s="198"/>
      <c r="P19" s="198"/>
      <c r="Q19" s="198"/>
      <c r="R19" s="198"/>
    </row>
    <row r="20" spans="1:18" x14ac:dyDescent="0.25">
      <c r="A20" s="145"/>
      <c r="B20" s="145"/>
      <c r="C20" s="145"/>
      <c r="D20" s="145"/>
      <c r="E20" s="145"/>
      <c r="F20" s="145"/>
      <c r="G20" s="145"/>
      <c r="H20" s="145"/>
      <c r="I20" s="145"/>
      <c r="J20" s="145"/>
    </row>
    <row r="21" spans="1:18" x14ac:dyDescent="0.25">
      <c r="A21" s="145"/>
      <c r="B21" s="145"/>
      <c r="C21" s="145"/>
      <c r="D21" s="145"/>
      <c r="E21" s="145"/>
      <c r="F21" s="145"/>
      <c r="G21" s="145"/>
      <c r="H21" s="145"/>
      <c r="I21" s="145"/>
      <c r="J21" s="145"/>
      <c r="M21" s="28"/>
    </row>
    <row r="22" spans="1:18" x14ac:dyDescent="0.25">
      <c r="N22" t="s">
        <v>0</v>
      </c>
    </row>
    <row r="23" spans="1:18" ht="15" customHeight="1" x14ac:dyDescent="0.25">
      <c r="A23" s="79"/>
      <c r="B23" s="84"/>
      <c r="C23" s="84"/>
      <c r="D23" s="84"/>
      <c r="E23" s="84"/>
      <c r="F23" s="84"/>
      <c r="G23" s="84"/>
      <c r="H23" s="84"/>
      <c r="I23" s="84"/>
      <c r="J23" s="9"/>
      <c r="K23" s="9"/>
      <c r="L23" s="9"/>
      <c r="M23" s="9"/>
      <c r="N23" s="9"/>
      <c r="O23" s="9"/>
      <c r="P23" s="9"/>
      <c r="Q23" s="9"/>
    </row>
    <row r="24" spans="1:18" ht="15" customHeight="1" x14ac:dyDescent="0.25">
      <c r="A24" s="84"/>
      <c r="B24" s="84"/>
      <c r="C24" s="84"/>
      <c r="D24" s="84"/>
      <c r="E24" s="84"/>
      <c r="F24" s="84"/>
      <c r="G24" s="84"/>
      <c r="H24" s="84"/>
      <c r="I24" s="84"/>
      <c r="J24" s="29"/>
      <c r="K24" s="29"/>
      <c r="L24" s="29"/>
      <c r="M24" s="29"/>
      <c r="N24" s="29"/>
      <c r="O24" s="29"/>
      <c r="P24" s="29"/>
      <c r="Q24" s="29"/>
    </row>
    <row r="25" spans="1:18" x14ac:dyDescent="0.25">
      <c r="E25" s="29"/>
      <c r="F25" s="29"/>
      <c r="G25" s="29"/>
      <c r="H25" s="29"/>
      <c r="I25" s="29"/>
      <c r="J25" s="29"/>
      <c r="K25" s="29"/>
      <c r="L25" s="29"/>
      <c r="M25" s="29"/>
      <c r="N25" s="29"/>
      <c r="O25" s="29"/>
      <c r="P25" s="29"/>
      <c r="Q25" s="29"/>
    </row>
    <row r="26" spans="1:18" x14ac:dyDescent="0.25">
      <c r="J26" s="29"/>
      <c r="K26" s="29"/>
      <c r="L26" s="29"/>
      <c r="M26" s="29"/>
      <c r="N26" s="29"/>
      <c r="O26" s="29"/>
      <c r="P26" s="29"/>
      <c r="Q26" s="29"/>
    </row>
    <row r="27" spans="1:18" x14ac:dyDescent="0.25">
      <c r="J27" s="29"/>
      <c r="K27" s="29"/>
      <c r="L27" s="29"/>
      <c r="M27" s="29"/>
      <c r="N27" s="29"/>
      <c r="O27" s="29"/>
      <c r="P27" s="29"/>
      <c r="Q27" s="29"/>
    </row>
    <row r="28" spans="1:18" x14ac:dyDescent="0.25">
      <c r="E28" s="29"/>
      <c r="F28" s="29"/>
      <c r="G28" s="29"/>
      <c r="H28" s="29"/>
      <c r="I28" s="29"/>
      <c r="J28" s="29"/>
      <c r="K28" s="29"/>
      <c r="L28" s="29"/>
      <c r="M28" s="29"/>
      <c r="N28" s="29"/>
      <c r="O28" s="29"/>
      <c r="P28" s="29"/>
      <c r="Q28" s="29"/>
    </row>
    <row r="29" spans="1:18" x14ac:dyDescent="0.25">
      <c r="A29" s="85"/>
      <c r="B29" s="85"/>
      <c r="C29" s="85"/>
      <c r="D29" s="85"/>
      <c r="E29" s="85"/>
      <c r="F29" s="85"/>
      <c r="G29" s="85"/>
      <c r="H29" s="85"/>
      <c r="I29" s="85"/>
      <c r="J29" s="29"/>
      <c r="K29" s="29"/>
      <c r="L29" s="29"/>
      <c r="M29" s="29"/>
      <c r="N29" s="29"/>
      <c r="O29" s="29"/>
      <c r="P29" s="29"/>
      <c r="Q29" s="29"/>
    </row>
    <row r="30" spans="1:18" x14ac:dyDescent="0.25">
      <c r="A30" s="85"/>
      <c r="B30" s="85"/>
      <c r="C30" s="85"/>
      <c r="D30" s="85"/>
      <c r="E30" s="85"/>
      <c r="F30" s="85"/>
      <c r="G30" s="85"/>
      <c r="H30" s="85"/>
      <c r="I30" s="85"/>
      <c r="J30" s="29"/>
      <c r="K30" s="29"/>
      <c r="L30" s="29"/>
      <c r="M30" s="29"/>
      <c r="N30" s="29"/>
      <c r="O30" s="29"/>
      <c r="P30" s="29"/>
      <c r="Q30" s="29"/>
    </row>
    <row r="31" spans="1:18" x14ac:dyDescent="0.25">
      <c r="E31" s="29"/>
      <c r="F31" s="29"/>
      <c r="G31" s="29"/>
      <c r="H31" s="29"/>
      <c r="I31" s="29"/>
      <c r="J31" s="29"/>
      <c r="K31" s="29"/>
      <c r="L31" s="29"/>
      <c r="M31" s="29"/>
      <c r="N31" s="29"/>
      <c r="O31" s="29"/>
      <c r="P31" s="29"/>
      <c r="Q31" s="29"/>
    </row>
    <row r="32" spans="1:18" x14ac:dyDescent="0.25">
      <c r="A32" s="85"/>
      <c r="B32" s="85"/>
      <c r="C32" s="85"/>
      <c r="D32" s="85"/>
      <c r="E32" s="85"/>
      <c r="F32" s="85"/>
      <c r="G32" s="85"/>
      <c r="H32" s="85"/>
      <c r="I32" s="85"/>
      <c r="J32" s="29"/>
      <c r="K32" s="29"/>
      <c r="L32" s="29"/>
      <c r="M32" s="29"/>
      <c r="N32" s="29"/>
      <c r="O32" s="29"/>
      <c r="P32" s="29"/>
      <c r="Q32" s="29"/>
    </row>
    <row r="33" spans="1:17" x14ac:dyDescent="0.25">
      <c r="A33" s="85"/>
      <c r="B33" s="85"/>
      <c r="C33" s="85"/>
      <c r="D33" s="85"/>
      <c r="E33" s="85"/>
      <c r="F33" s="85"/>
      <c r="G33" s="85"/>
      <c r="H33" s="85"/>
      <c r="I33" s="85"/>
      <c r="J33" s="29"/>
      <c r="K33" s="29"/>
      <c r="L33" s="29"/>
      <c r="M33" s="29"/>
      <c r="N33" s="29"/>
      <c r="O33" s="29"/>
      <c r="P33" s="29"/>
      <c r="Q33" s="29"/>
    </row>
    <row r="34" spans="1:17" x14ac:dyDescent="0.25">
      <c r="E34" s="29"/>
      <c r="F34" s="29"/>
      <c r="G34" s="29"/>
      <c r="H34" s="29"/>
      <c r="I34" s="29"/>
      <c r="J34" s="29"/>
      <c r="K34" s="29"/>
      <c r="L34" s="29"/>
      <c r="M34" s="29"/>
      <c r="N34" s="29"/>
      <c r="O34" s="29"/>
      <c r="P34" s="29"/>
      <c r="Q34" s="29"/>
    </row>
    <row r="35" spans="1:17" x14ac:dyDescent="0.25">
      <c r="A35" s="85"/>
      <c r="B35" s="85"/>
      <c r="C35" s="85"/>
      <c r="D35" s="85"/>
      <c r="E35" s="85"/>
      <c r="F35" s="85"/>
      <c r="G35" s="85"/>
      <c r="H35" s="85"/>
      <c r="I35" s="85"/>
      <c r="J35" s="29"/>
      <c r="K35" s="29"/>
      <c r="L35" s="29"/>
      <c r="M35" s="29"/>
      <c r="N35" s="29"/>
      <c r="O35" s="29"/>
      <c r="P35" s="29"/>
      <c r="Q35" s="29"/>
    </row>
    <row r="36" spans="1:17" x14ac:dyDescent="0.25">
      <c r="A36" s="85"/>
      <c r="B36" s="85"/>
      <c r="C36" s="85"/>
      <c r="D36" s="85"/>
      <c r="E36" s="85"/>
      <c r="F36" s="85"/>
      <c r="G36" s="85"/>
      <c r="H36" s="85"/>
      <c r="I36" s="85"/>
      <c r="J36" s="29"/>
      <c r="K36" s="29"/>
      <c r="L36" s="29"/>
      <c r="M36" s="29"/>
      <c r="N36" s="29"/>
      <c r="O36" s="29"/>
      <c r="P36" s="29"/>
      <c r="Q36" s="29"/>
    </row>
    <row r="37" spans="1:17" x14ac:dyDescent="0.25">
      <c r="E37" s="29"/>
      <c r="F37" s="29"/>
      <c r="G37" s="29"/>
      <c r="H37" s="29"/>
      <c r="I37" s="29"/>
      <c r="J37" s="29"/>
      <c r="K37" s="29"/>
      <c r="L37" s="29"/>
      <c r="M37" s="29"/>
      <c r="N37" s="29"/>
      <c r="O37" s="29"/>
      <c r="P37" s="29"/>
      <c r="Q37" s="29"/>
    </row>
    <row r="38" spans="1:17" x14ac:dyDescent="0.25">
      <c r="A38" s="85"/>
      <c r="B38" s="85"/>
      <c r="C38" s="85"/>
      <c r="D38" s="85"/>
      <c r="E38" s="85"/>
      <c r="F38" s="85"/>
      <c r="G38" s="85"/>
      <c r="H38" s="85"/>
      <c r="I38" s="85"/>
      <c r="J38" s="29"/>
      <c r="K38" s="29"/>
      <c r="L38" s="29"/>
      <c r="M38" s="29"/>
      <c r="N38" s="29"/>
      <c r="O38" s="29"/>
      <c r="P38" s="29"/>
      <c r="Q38" s="29"/>
    </row>
    <row r="39" spans="1:17" x14ac:dyDescent="0.25">
      <c r="A39" s="85"/>
      <c r="B39" s="85"/>
      <c r="C39" s="85"/>
      <c r="D39" s="85"/>
      <c r="E39" s="85"/>
      <c r="F39" s="85"/>
      <c r="G39" s="85"/>
      <c r="H39" s="85"/>
      <c r="I39" s="85"/>
      <c r="J39" s="29"/>
      <c r="K39" s="29"/>
      <c r="L39" s="29"/>
      <c r="M39" s="29"/>
      <c r="N39" s="29"/>
      <c r="O39" s="29"/>
      <c r="P39" s="29"/>
      <c r="Q39" s="29"/>
    </row>
    <row r="40" spans="1:17" x14ac:dyDescent="0.25">
      <c r="E40" s="29"/>
      <c r="F40" s="29"/>
      <c r="G40" s="29"/>
      <c r="H40" s="29"/>
      <c r="I40" s="29"/>
      <c r="J40" s="29"/>
      <c r="K40" s="29"/>
      <c r="L40" s="29"/>
      <c r="M40" s="29"/>
      <c r="N40" s="29"/>
      <c r="O40" s="29"/>
      <c r="P40" s="29"/>
      <c r="Q40" s="29"/>
    </row>
    <row r="41" spans="1:17" x14ac:dyDescent="0.25">
      <c r="E41" s="29"/>
      <c r="F41" s="29"/>
      <c r="G41" s="29"/>
      <c r="H41" s="29"/>
      <c r="I41" s="29"/>
      <c r="J41" s="29"/>
      <c r="K41" s="29"/>
      <c r="L41" s="29"/>
      <c r="M41" s="29"/>
      <c r="N41" s="29"/>
      <c r="O41" s="29"/>
      <c r="P41" s="29"/>
      <c r="Q41" s="29"/>
    </row>
    <row r="42" spans="1:17" x14ac:dyDescent="0.25">
      <c r="E42" s="10"/>
      <c r="F42" s="10"/>
      <c r="G42" s="10"/>
      <c r="H42" s="10"/>
      <c r="I42" s="10"/>
      <c r="J42" s="10"/>
      <c r="K42" s="10"/>
      <c r="L42" s="10"/>
      <c r="M42" s="10"/>
      <c r="N42" s="10"/>
      <c r="O42" s="10"/>
      <c r="P42" s="10"/>
      <c r="Q42" s="10"/>
    </row>
    <row r="43" spans="1:17" x14ac:dyDescent="0.25">
      <c r="E43" s="10"/>
      <c r="F43" s="10"/>
      <c r="G43" s="10"/>
      <c r="H43" s="10"/>
      <c r="I43" s="10"/>
      <c r="J43" s="10"/>
      <c r="K43" s="10"/>
      <c r="L43" s="10"/>
      <c r="M43" s="10"/>
      <c r="N43" s="10"/>
      <c r="O43" s="10"/>
      <c r="P43" s="10"/>
      <c r="Q43" s="10"/>
    </row>
  </sheetData>
  <mergeCells count="51">
    <mergeCell ref="A1:J3"/>
    <mergeCell ref="K1:P3"/>
    <mergeCell ref="Q1:Q2"/>
    <mergeCell ref="A4:J5"/>
    <mergeCell ref="K4:P5"/>
    <mergeCell ref="Q4:R4"/>
    <mergeCell ref="Q5:R5"/>
    <mergeCell ref="B8:H9"/>
    <mergeCell ref="K8:R9"/>
    <mergeCell ref="A11:I12"/>
    <mergeCell ref="K11:K12"/>
    <mergeCell ref="L11:L12"/>
    <mergeCell ref="M11:M12"/>
    <mergeCell ref="N11:N12"/>
    <mergeCell ref="O11:O12"/>
    <mergeCell ref="P11:P12"/>
    <mergeCell ref="Q11:Q12"/>
    <mergeCell ref="R11:R12"/>
    <mergeCell ref="A14:J15"/>
    <mergeCell ref="K14:K15"/>
    <mergeCell ref="L14:L15"/>
    <mergeCell ref="M14:M15"/>
    <mergeCell ref="N14:N15"/>
    <mergeCell ref="O14:O15"/>
    <mergeCell ref="P14:P15"/>
    <mergeCell ref="Q14:Q15"/>
    <mergeCell ref="R14:R15"/>
    <mergeCell ref="P16:P17"/>
    <mergeCell ref="Q16:Q17"/>
    <mergeCell ref="R16:R17"/>
    <mergeCell ref="A18:J19"/>
    <mergeCell ref="K18:K19"/>
    <mergeCell ref="L18:L19"/>
    <mergeCell ref="M18:M19"/>
    <mergeCell ref="N18:N19"/>
    <mergeCell ref="O18:O19"/>
    <mergeCell ref="P18:P19"/>
    <mergeCell ref="A16:J17"/>
    <mergeCell ref="K16:K17"/>
    <mergeCell ref="L16:L17"/>
    <mergeCell ref="M16:M17"/>
    <mergeCell ref="N16:N17"/>
    <mergeCell ref="O16:O17"/>
    <mergeCell ref="A35:I36"/>
    <mergeCell ref="A38:I39"/>
    <mergeCell ref="Q18:Q19"/>
    <mergeCell ref="R18:R19"/>
    <mergeCell ref="A20:J21"/>
    <mergeCell ref="A23:I24"/>
    <mergeCell ref="A29:I30"/>
    <mergeCell ref="A32:I33"/>
  </mergeCells>
  <dataValidations count="15">
    <dataValidation type="whole" allowBlank="1" showInputMessage="1" showErrorMessage="1" errorTitle="Achtung, Sabotage-Akt" error="Die Daten aktualisieren sich von selbst und bedürfen keiner manuellen Nachbearbeitung._x000a_Aber danke, dass du es trotzdem versucht hast!" sqref="A16:J17" xr:uid="{6C34ABC3-7CBD-4DDC-9924-C6CB26AA2AD8}">
      <formula1>5.0000080090704E+39</formula1>
      <formula2>5.0000080090704E+39</formula2>
    </dataValidation>
    <dataValidation type="whole" allowBlank="1" showInputMessage="1" showErrorMessage="1" errorTitle="Achtung, fehlerhafte Eingabe!" error="Deine Eingabe ist entweder lächerlich gering oder zu hochgegriffen! Versuche es mal mit Werten zwischen 2 und 300._x000a_" sqref="K14:K15" xr:uid="{85716DB2-9410-4EDB-8E0A-867817650B02}">
      <formula1>2</formula1>
      <formula2>300</formula2>
    </dataValidation>
    <dataValidation type="whole" allowBlank="1" showInputMessage="1" showErrorMessage="1" errorTitle="Achtung, Sabotage-Akt" error="Die Daten aktualisieren sich von selbst und bedürfen keiner manuellen Nachbearbeitung._x000a_Aber danke, dass du es trotzdem versucht hast!" sqref="A14:J15" xr:uid="{5DB5224A-2094-48DC-ABAE-C2E10340B090}">
      <formula1>1.00005006000201E+39</formula1>
      <formula2>1.00005006000201E+39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K4:P5" xr:uid="{6EC76DFF-BE07-4913-A545-B3211A3CF42B}">
      <formula1>2.0000021031015E+39</formula1>
      <formula2>2.0000021031015E+39</formula2>
    </dataValidation>
    <dataValidation type="whole" allowBlank="1" showInputMessage="1" showErrorMessage="1" errorTitle="Achtung, Sabotage-Akt" error="Die Daten aktualisieren sich von selbst und bedürfen keiner manuellen Nachbearbeitung._x000a_Aber danke, dass du es trotzdem versucht hast!" sqref="Q3" xr:uid="{1B9F7611-0D56-43D5-8675-EB3C77710186}">
      <formula1>1.000000104506E+39</formula1>
      <formula2>1.000000104506E+39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5:R5" xr:uid="{B174C929-EC39-463C-8E70-E3C3947EE5D8}">
      <formula1>4.0000050640321E+39</formula1>
      <formula2>4.0000050640321E+39</formula2>
    </dataValidation>
    <dataValidation type="whole" allowBlank="1" showInputMessage="1" showErrorMessage="1" errorTitle="Achtung, Sabotage-Akt" error="Die Daten im dunkelblauen Bereich aktualisieren sich von selbst und bedürfen keiner manuellen Korrektur._x000a_Aber danke, dass du es trotzdem versucht hast!" sqref="Q4:R4 A4:J5" xr:uid="{100F5624-CF9F-45E0-A8D8-61BF38568343}">
      <formula1>1.0000101010101E+39</formula1>
      <formula2>1.0000101010101E+39</formula2>
    </dataValidation>
    <dataValidation type="whole" allowBlank="1" showInputMessage="1" showErrorMessage="1" errorTitle="Achtung, Sabotage-Akt!" error="Die Daten im grauen Bereich sind vor jeglicher Eingabe geschützt! Weder eine zufällige, noch eine bewusste Manipulation sind erwünscht und werden von daher unterbunden!" sqref="J23:Q41 E25:I25 E28:I28 E31:I31 E40:I41 E34:I34 E37:I37" xr:uid="{BF137DD7-CEF9-4082-9C59-434A6A297D46}">
      <formula1>1.00001001001E+39</formula1>
      <formula2>1.00001001001E+39</formula2>
    </dataValidation>
    <dataValidation allowBlank="1" errorTitle="Achtung, Sabotage-Akt!" error="Zellen, die grün markiert sind, eignen sich nicht zur Dateneingabe. Hier sind Formeln hinterlegt, welche nicht zerstört werden dürfen. Danke für dein Verständnis!" promptTitle="Wichtige Info!" prompt="Du darfst hier nichts eingeben, es wird alles automatisch berechnet!" sqref="M21" xr:uid="{D84C1829-7656-4543-80CE-585D677A25EA}"/>
    <dataValidation allowBlank="1" showInputMessage="1" showErrorMessage="1" errorTitle="Achtung, Sabotage-Akt" error="Du darfst hier nichts ändern, ergänzen oder gar löschen!" sqref="K1:P3" xr:uid="{FE70E3F1-6262-425B-BE95-F1AA1DC566B9}"/>
    <dataValidation type="whole" allowBlank="1" showInputMessage="1" showErrorMessage="1" errorTitle="Achtung, Sabotage-Akt" error="Die Daten aktualisieren sich von selbst und bedürfen keiner manuellen Nachbearbeitung._x000a_Aber danke, dass du es trotzdem versucht hast!" sqref="R11:R12" xr:uid="{8E66187E-6428-4F62-9268-16C589B087E1}">
      <formula1>5.00050987065403E+39</formula1>
      <formula2>5.00050987065403E+39</formula2>
    </dataValidation>
    <dataValidation type="whole" allowBlank="1" showInputMessage="1" showErrorMessage="1" errorTitle="Achtung, Sabotage-Akt" error="Die Daten aktualisieren sich von selbst und bedürfen keiner manuellen Nachbearbeitung._x000a_Aber danke, dass du es trotzdem versucht hast!" sqref="K11:Q12" xr:uid="{779584C0-1784-4D1E-A68A-E67312C60678}">
      <formula1>1.00004564054032E+39</formula1>
      <formula2>1.00004564054032E+39</formula2>
    </dataValidation>
    <dataValidation type="whole" allowBlank="1" showInputMessage="1" showErrorMessage="1" sqref="K16:Q17" xr:uid="{4424D8C8-6C8C-4C46-BCEA-53ADC3A74297}">
      <formula1>0</formula1>
      <formula2>300</formula2>
    </dataValidation>
    <dataValidation type="whole" allowBlank="1" showInputMessage="1" showErrorMessage="1" errorTitle="Achtung, Sabotage-Akt" error="Die Daten aktualisieren sich von selbst und bedürfen keiner manuellen Nachbearbeitung._x000a_Aber danke, dass du es trotzdem versucht hast!" sqref="L14:R15 A18:R19" xr:uid="{17A392CC-CB80-4A1D-BCDE-01FE57D0A12A}">
      <formula1>1.00000100203021E+39</formula1>
      <formula2>1.00000100203021E+39</formula2>
    </dataValidation>
    <dataValidation type="whole" allowBlank="1" showInputMessage="1" showErrorMessage="1" errorTitle="Achtungm Sabotage-Akt!" error="Die Daten aktualisieren sich von selbst und bedürfen keiner manuellen Nachbearbeitung. _x000a_Aber danke, dass du es trotzdem versucht hast!" sqref="R16:R17" xr:uid="{C376308B-C682-4072-82A8-B053858B006A}">
      <formula1>1.00000000105046E+39</formula1>
      <formula2>1.00000000105046E+39</formula2>
    </dataValidation>
  </dataValidation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Start</vt:lpstr>
      <vt:lpstr>Persönliche Daten</vt:lpstr>
      <vt:lpstr>Gewichts-Ziel</vt:lpstr>
      <vt:lpstr>fitness</vt:lpstr>
      <vt:lpstr>Spaziergang</vt:lpstr>
      <vt:lpstr>Schritte</vt:lpstr>
      <vt:lpstr>Treppen</vt:lpstr>
      <vt:lpstr>Squats</vt:lpstr>
      <vt:lpstr>Pushups</vt:lpstr>
      <vt:lpstr>Situps</vt:lpstr>
      <vt:lpstr>Gewichts-Tabelle</vt:lpstr>
      <vt:lpstr>Übersicht</vt:lpstr>
      <vt:lpstr>Umrechner</vt:lpstr>
      <vt:lpstr>Werte</vt:lpstr>
      <vt:lpstr>Programmdaten</vt:lpstr>
      <vt:lpstr>blanko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2023-06-03T16:22:50Z</cp:lastPrinted>
  <dcterms:created xsi:type="dcterms:W3CDTF">2023-05-14T23:27:35Z</dcterms:created>
  <dcterms:modified xsi:type="dcterms:W3CDTF">2023-08-16T17:34:44Z</dcterms:modified>
</cp:coreProperties>
</file>